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P3EGZ\2020\850\23-850-2019 PROTEZA 2\uzgodnienia zewnętrzne\"/>
    </mc:Choice>
  </mc:AlternateContent>
  <bookViews>
    <workbookView xWindow="0" yWindow="0" windowWidth="21570" windowHeight="8145" firstSheet="1" activeTab="2"/>
  </bookViews>
  <sheets>
    <sheet name="gotówka bp" sheetId="2" r:id="rId1"/>
    <sheet name="gotówka wpływ na zob" sheetId="3" r:id="rId2"/>
    <sheet name="gotówka jst" sheetId="5" r:id="rId3"/>
    <sheet name="VAT MOSS" sheetId="6" r:id="rId4"/>
    <sheet name="suma wzrost dochodów bp" sheetId="7" r:id="rId5"/>
    <sheet name="suma wzrostu dochodów " sheetId="8" r:id="rId6"/>
  </sheets>
  <definedNames>
    <definedName name="_xlnm.Print_Area" localSheetId="1">'gotówka wpływ na zob'!$A$1:$L$30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8" l="1"/>
  <c r="C10" i="8"/>
  <c r="C18" i="8" l="1"/>
  <c r="C27" i="5"/>
  <c r="C8" i="8"/>
  <c r="C9" i="8"/>
  <c r="C12" i="8"/>
  <c r="C13" i="8"/>
  <c r="C14" i="8"/>
  <c r="C15" i="8"/>
  <c r="C16" i="8"/>
  <c r="C17" i="8"/>
  <c r="C7" i="8"/>
  <c r="C17" i="7" l="1"/>
  <c r="C16" i="7"/>
  <c r="C15" i="7"/>
  <c r="C14" i="7"/>
  <c r="C13" i="7"/>
  <c r="B14" i="6" l="1"/>
  <c r="B15" i="6"/>
  <c r="H9" i="6"/>
  <c r="H8" i="6"/>
  <c r="H7" i="6"/>
  <c r="G8" i="6"/>
  <c r="G7" i="6"/>
  <c r="C38" i="5" l="1"/>
  <c r="C33" i="2"/>
  <c r="C7" i="7" l="1"/>
  <c r="G9" i="6"/>
  <c r="D15" i="6" s="1"/>
  <c r="C11" i="7" l="1"/>
  <c r="C9" i="7"/>
  <c r="C10" i="7"/>
  <c r="C12" i="7"/>
  <c r="D14" i="6"/>
  <c r="C8" i="7" s="1"/>
  <c r="B27" i="3" l="1"/>
  <c r="D27" i="3" s="1"/>
  <c r="F21" i="3"/>
  <c r="F20" i="3"/>
  <c r="C21" i="3"/>
  <c r="B21" i="3"/>
  <c r="D20" i="3"/>
  <c r="G20" i="3" s="1"/>
  <c r="C37" i="5"/>
  <c r="C36" i="5"/>
  <c r="C35" i="5"/>
  <c r="C34" i="5"/>
  <c r="C33" i="5"/>
  <c r="C32" i="5"/>
  <c r="C31" i="5"/>
  <c r="C30" i="5"/>
  <c r="C29" i="5"/>
  <c r="C28" i="5"/>
  <c r="C16" i="5"/>
  <c r="F16" i="5" s="1"/>
  <c r="B23" i="5" s="1"/>
  <c r="E23" i="5" s="1"/>
  <c r="B16" i="5"/>
  <c r="E16" i="5" s="1"/>
  <c r="A23" i="5" s="1"/>
  <c r="D23" i="5" s="1"/>
  <c r="D21" i="3" l="1"/>
  <c r="G21" i="3" s="1"/>
  <c r="B28" i="3" s="1"/>
  <c r="D28" i="3" s="1"/>
  <c r="F23" i="5"/>
  <c r="G23" i="5" s="1"/>
  <c r="D15" i="3"/>
  <c r="D14" i="3"/>
  <c r="B15" i="3"/>
  <c r="B14" i="3"/>
  <c r="I10" i="3"/>
  <c r="J9" i="3"/>
  <c r="J8" i="3"/>
  <c r="I9" i="3"/>
  <c r="I8" i="3"/>
  <c r="G9" i="3"/>
  <c r="G8" i="3"/>
  <c r="D9" i="3"/>
  <c r="D8" i="3"/>
  <c r="C22" i="2" l="1"/>
  <c r="C29" i="2"/>
  <c r="C30" i="2"/>
  <c r="C31" i="2"/>
  <c r="C32" i="2"/>
  <c r="C28" i="2"/>
  <c r="C27" i="2"/>
  <c r="C26" i="2"/>
  <c r="C25" i="2"/>
  <c r="C24" i="2"/>
  <c r="D8" i="2"/>
  <c r="C12" i="2" s="1"/>
  <c r="F12" i="2" s="1"/>
  <c r="B18" i="2" s="1"/>
  <c r="E18" i="2" s="1"/>
  <c r="D7" i="2"/>
  <c r="B12" i="2" s="1"/>
  <c r="E12" i="2" s="1"/>
  <c r="A18" i="2" s="1"/>
  <c r="D18" i="2" s="1"/>
  <c r="F18" i="2" s="1"/>
  <c r="G18" i="2" s="1"/>
</calcChain>
</file>

<file path=xl/sharedStrings.xml><?xml version="1.0" encoding="utf-8"?>
<sst xmlns="http://schemas.openxmlformats.org/spreadsheetml/2006/main" count="159" uniqueCount="108">
  <si>
    <t>w mln zł</t>
  </si>
  <si>
    <t xml:space="preserve">suma kwot pobranych - egzekucja </t>
  </si>
  <si>
    <t>suma pobranych w urzędzie</t>
  </si>
  <si>
    <t>egzekucja z pieniędzy</t>
  </si>
  <si>
    <t>dobrowolne wpłaty</t>
  </si>
  <si>
    <t>różnica w wysokości opłaty dla płatności gotówkowych</t>
  </si>
  <si>
    <t>wzrost wysokości dochodów budżetu państwa związanych płatnościami w gotówce</t>
  </si>
  <si>
    <t>suma wzrostu dochodów budżetu państwa</t>
  </si>
  <si>
    <t xml:space="preserve"> egzekucja z pieniędzy</t>
  </si>
  <si>
    <t xml:space="preserve"> dobrowolne wpłaty</t>
  </si>
  <si>
    <t>płatności gotówkowe</t>
  </si>
  <si>
    <t>w zł</t>
  </si>
  <si>
    <t>Wzrost dochodów budżetu państwa w kolejnych latach po wejściu w życie ustawy</t>
  </si>
  <si>
    <t>pobrania 
u zobowiązanego</t>
  </si>
  <si>
    <t xml:space="preserve">Średnia </t>
  </si>
  <si>
    <t>kwoty w zł</t>
  </si>
  <si>
    <t xml:space="preserve">egzekucja z pieniędzy w gotówce </t>
  </si>
  <si>
    <t xml:space="preserve">dobrowolne wpłaty </t>
  </si>
  <si>
    <t>rok po wejściu w życie ustawy</t>
  </si>
  <si>
    <t>Razem</t>
  </si>
  <si>
    <t>Kalkulacja średniego wzrostu opłaty egzekucyjnej dla zobowiązanych, którzy nie będą chcieli korzystać z płatności bezgotówkowych</t>
  </si>
  <si>
    <t>liczba czynności</t>
  </si>
  <si>
    <t>płatności gotówkowe po wejściu w życie ustawy</t>
  </si>
  <si>
    <r>
      <t>udział gotówki w płatnościach</t>
    </r>
    <r>
      <rPr>
        <vertAlign val="superscript"/>
        <sz val="12"/>
        <color theme="1"/>
        <rFont val="Calibri"/>
        <family val="2"/>
        <charset val="238"/>
        <scheme val="minor"/>
      </rPr>
      <t>2)</t>
    </r>
  </si>
  <si>
    <r>
      <t>płatności gotówkowe w egzekucji prowadzonej przez organy Krajowej Administracji Skarbowej - KAS</t>
    </r>
    <r>
      <rPr>
        <vertAlign val="superscript"/>
        <sz val="12"/>
        <color theme="1"/>
        <rFont val="Calibri"/>
        <family val="2"/>
        <charset val="238"/>
        <scheme val="minor"/>
      </rPr>
      <t>1)</t>
    </r>
  </si>
  <si>
    <r>
      <t>liczba czynności</t>
    </r>
    <r>
      <rPr>
        <vertAlign val="superscript"/>
        <sz val="12"/>
        <color theme="1"/>
        <rFont val="Calibri"/>
        <family val="2"/>
        <charset val="238"/>
        <scheme val="minor"/>
      </rPr>
      <t>1)</t>
    </r>
  </si>
  <si>
    <r>
      <rPr>
        <vertAlign val="superscript"/>
        <sz val="12"/>
        <color theme="1"/>
        <rFont val="Calibri"/>
        <family val="2"/>
        <charset val="238"/>
        <scheme val="minor"/>
      </rPr>
      <t>3)</t>
    </r>
    <r>
      <rPr>
        <sz val="12"/>
        <color theme="1"/>
        <rFont val="Calibri"/>
        <family val="2"/>
        <charset val="238"/>
        <scheme val="minor"/>
      </rPr>
      <t xml:space="preserve"> Ustawa wejdzie w życie w trakcie roku budżetowego tj. 30 lipca 2019 r. zatem zakłada się, że w roku wejścia w życie szacowany wzrost dochodów budżetu państwa będzie stanowił taką część maksymalnej sumy wzrostu dochodów, jaką część roku budżetowego stanowi czas obowiązywania ustawy w roku 0 tj. 5-mcy/12-mcy=42%</t>
    </r>
  </si>
  <si>
    <r>
      <rPr>
        <vertAlign val="superscript"/>
        <sz val="12"/>
        <color theme="1"/>
        <rFont val="Calibri"/>
        <family val="2"/>
        <charset val="238"/>
        <scheme val="minor"/>
      </rPr>
      <t>4)</t>
    </r>
    <r>
      <rPr>
        <sz val="12"/>
        <color theme="1"/>
        <rFont val="Calibri"/>
        <family val="2"/>
        <charset val="238"/>
        <scheme val="minor"/>
      </rPr>
      <t xml:space="preserve"> Maksymalna suma wzrostu dochodów budżetu państwa</t>
    </r>
  </si>
  <si>
    <r>
      <rPr>
        <vertAlign val="superscript"/>
        <sz val="12"/>
        <color theme="1"/>
        <rFont val="Calibri"/>
        <family val="2"/>
        <charset val="238"/>
        <scheme val="minor"/>
      </rPr>
      <t>5)</t>
    </r>
    <r>
      <rPr>
        <sz val="12"/>
        <color theme="1"/>
        <rFont val="Calibri"/>
        <family val="2"/>
        <charset val="238"/>
        <scheme val="minor"/>
      </rPr>
      <t xml:space="preserve"> Zakłada się, że po wejściu w życie ustawy z każdym rokiem udział gotówki w egzekucji będzie się zmniejszał o około 10%, aż do osiągnięcia pułapu 50% obecnych płatności gotówkowych w egzekucji w 6 roku obowiązywania ustawy. Powyższe oznacza, że w kolejnych latach obowiązywania ustawy 2-6 wzrost dochodów budżetu państwa, liczony w stosunku do kwot określonych w OSR ustawy z dnia 4 lipca 2019 r. o zmianie ustawy o postępowaniu egzekucyjnym w administracji i niektórych innych ustaw, będzie się również cyklicznie zmniejszał o około 10% rocznie.  </t>
    </r>
  </si>
  <si>
    <t xml:space="preserve">Obciążenie dla jednego zobowiązanego w związku z korzystaniem z gotówki w egzekucji </t>
  </si>
  <si>
    <t>wpłaty 
w urzędzie</t>
  </si>
  <si>
    <t>wpłaty
w urzędzie</t>
  </si>
  <si>
    <t>wpłaty w urzędzie</t>
  </si>
  <si>
    <r>
      <t xml:space="preserve">średnie kwoty uzyskane w jednej czynności w zł </t>
    </r>
    <r>
      <rPr>
        <vertAlign val="superscript"/>
        <sz val="12"/>
        <color theme="1"/>
        <rFont val="Calibri"/>
        <family val="2"/>
        <charset val="238"/>
        <scheme val="minor"/>
      </rPr>
      <t>1)</t>
    </r>
  </si>
  <si>
    <t>gotówka po wejściu 
w życie projektowanych przepisów</t>
  </si>
  <si>
    <t>średnie kwoty uzyskane 
w jednej czynności 
w zł</t>
  </si>
  <si>
    <t>średnia kwota płatności gotówkowej
w zł</t>
  </si>
  <si>
    <t>różnica w opłacie egzekucyjnej w związku 
z płatnością gotówkową</t>
  </si>
  <si>
    <t>kwota różnicy w opłacie egzekucyjnej dla 1 zobowiązanego w zł</t>
  </si>
  <si>
    <t>Wzrost dochodów budżetu państwa z tytułu różnicy w wysokości opłaty egzekucyjnej dla płatności gotówkowych</t>
  </si>
  <si>
    <t xml:space="preserve">suma kwot wyegzekwowanych  </t>
  </si>
  <si>
    <t>podstawa naliczenia opłaty egzekucyjnej bez zniżki za płatności bezgotówkowe</t>
  </si>
  <si>
    <t>Średnia</t>
  </si>
  <si>
    <t>Wzrost dochodów jednostek samorządu terytorialnego z tytułu różnicy w wysokości opłaty egzekucyjnej dla płatności gotówkowych</t>
  </si>
  <si>
    <t>wpłaty
do wierzyciela</t>
  </si>
  <si>
    <t>suma wpłaconych do wierzyciela</t>
  </si>
  <si>
    <t>płatności gotówkowe w egzekucji prowadzonej przez organy jednostek samorządu terytorialnego</t>
  </si>
  <si>
    <r>
      <t xml:space="preserve">średnie kwoty uzyskane z czynności w zł </t>
    </r>
    <r>
      <rPr>
        <vertAlign val="superscript"/>
        <sz val="12"/>
        <color theme="1"/>
        <rFont val="Calibri"/>
        <family val="2"/>
        <charset val="238"/>
        <scheme val="minor"/>
      </rPr>
      <t>1)</t>
    </r>
  </si>
  <si>
    <t>średnia kwota z 1 czynności w zł</t>
  </si>
  <si>
    <r>
      <t>płatności gotówkowe w egzekucji prowadzonej przez jednostki samorządu terytorialnego</t>
    </r>
    <r>
      <rPr>
        <vertAlign val="superscript"/>
        <sz val="12"/>
        <color theme="1"/>
        <rFont val="Calibri"/>
        <family val="2"/>
        <charset val="238"/>
        <scheme val="minor"/>
      </rPr>
      <t>6)</t>
    </r>
  </si>
  <si>
    <r>
      <rPr>
        <vertAlign val="superscript"/>
        <sz val="12"/>
        <color theme="1"/>
        <rFont val="Calibri"/>
        <family val="2"/>
        <charset val="238"/>
        <scheme val="minor"/>
      </rPr>
      <t>7)</t>
    </r>
    <r>
      <rPr>
        <sz val="12"/>
        <color theme="1"/>
        <rFont val="Calibri"/>
        <family val="2"/>
        <charset val="238"/>
        <scheme val="minor"/>
      </rPr>
      <t xml:space="preserve"> Ustawa wejdzie w życie w trakcie roku budżetowego tj. 30 lipca 2019 r. zatem zakłada się, że w roku wejścia w życie szacowany wzrost dochodów jednostek samorządu terytorialnego będzie stanowił taką część maksymalnej sumy wzrostu dochodów, jaką część roku budżetowego stanowi czas obowiązywania ustawy w roku 0 tj. 5-mcy/12-mcy=42%</t>
    </r>
  </si>
  <si>
    <r>
      <rPr>
        <vertAlign val="superscript"/>
        <sz val="12"/>
        <color theme="1"/>
        <rFont val="Calibri"/>
        <family val="2"/>
        <charset val="238"/>
        <scheme val="minor"/>
      </rPr>
      <t>8)</t>
    </r>
    <r>
      <rPr>
        <sz val="12"/>
        <color theme="1"/>
        <rFont val="Calibri"/>
        <family val="2"/>
        <charset val="238"/>
        <scheme val="minor"/>
      </rPr>
      <t xml:space="preserve"> Maksymalna suma wzrostu dochodów jednostek samorządu terytorialnego</t>
    </r>
  </si>
  <si>
    <r>
      <rPr>
        <vertAlign val="superscript"/>
        <sz val="12"/>
        <color theme="1"/>
        <rFont val="Calibri"/>
        <family val="2"/>
        <charset val="238"/>
        <scheme val="minor"/>
      </rPr>
      <t>9)</t>
    </r>
    <r>
      <rPr>
        <sz val="12"/>
        <color theme="1"/>
        <rFont val="Calibri"/>
        <family val="2"/>
        <charset val="238"/>
        <scheme val="minor"/>
      </rPr>
      <t xml:space="preserve"> Zakłada się, że po wejściu w życie ustawy z każdym rokiem udział gotówki w egzekucji będzie się zmniejszał o około 10%, aż do osiągnięcia pułapu 50% obecnych płatności gotówkowych w egzekucji w 6 roku obowiązywania ustawy. Powyższe oznacza, że w kolejnych latach obowiązywania ustawy 2-6 wzrost dochodów budżetu państwa, liczony w stosunku do kwot określonych w OSR ustawy z dnia 4 lipca 2019 r. o zmianie ustawy o postępowaniu egzekucyjnym w administracji i niektórych innych ustaw, będzie się również cyklicznie zmniejszał o około 10% rocznie.  </t>
    </r>
  </si>
  <si>
    <r>
      <t>wpłaty 
do wierzyciela</t>
    </r>
    <r>
      <rPr>
        <vertAlign val="superscript"/>
        <sz val="12"/>
        <color theme="1"/>
        <rFont val="Calibri"/>
        <family val="2"/>
        <charset val="238"/>
        <scheme val="minor"/>
      </rPr>
      <t>11)</t>
    </r>
  </si>
  <si>
    <t>wpłaty do wierzyciela</t>
  </si>
  <si>
    <r>
      <t xml:space="preserve">11)  </t>
    </r>
    <r>
      <rPr>
        <sz val="12"/>
        <color theme="1"/>
        <rFont val="Calibri"/>
        <family val="2"/>
        <charset val="238"/>
        <scheme val="minor"/>
      </rPr>
      <t>Oszacowane w oparciu o proporcję kwot pobranych w egzekucji do kwot wpłaconych dobrowolnie do wierzyciela</t>
    </r>
  </si>
  <si>
    <t>Wzrost dochodów budżetu państwa z tytułu dochodzenia należności deklarowanych przy procedurze szczególnej VAT MOSS</t>
  </si>
  <si>
    <t>procedura unijna</t>
  </si>
  <si>
    <t>procedura nieunijna</t>
  </si>
  <si>
    <t>Suma</t>
  </si>
  <si>
    <t>Suma obu procedur</t>
  </si>
  <si>
    <r>
      <rPr>
        <vertAlign val="superscript"/>
        <sz val="12"/>
        <color theme="1"/>
        <rFont val="Calibri"/>
        <family val="2"/>
        <charset val="238"/>
        <scheme val="minor"/>
      </rPr>
      <t xml:space="preserve">1) </t>
    </r>
    <r>
      <rPr>
        <sz val="12"/>
        <color theme="1"/>
        <rFont val="Calibri"/>
        <family val="2"/>
        <charset val="238"/>
        <scheme val="minor"/>
      </rPr>
      <t>Dane z KAS</t>
    </r>
  </si>
  <si>
    <t>str. 1</t>
  </si>
  <si>
    <t>str. 2</t>
  </si>
  <si>
    <t>str. 3</t>
  </si>
  <si>
    <t>str. 4</t>
  </si>
  <si>
    <r>
      <t>liczba czynności</t>
    </r>
    <r>
      <rPr>
        <vertAlign val="superscript"/>
        <sz val="12"/>
        <color theme="1"/>
        <rFont val="Calibri"/>
        <family val="2"/>
        <charset val="238"/>
        <scheme val="minor"/>
      </rPr>
      <t>10)</t>
    </r>
  </si>
  <si>
    <r>
      <rPr>
        <vertAlign val="superscript"/>
        <sz val="12"/>
        <color theme="1"/>
        <rFont val="Calibri"/>
        <family val="2"/>
        <charset val="238"/>
        <scheme val="minor"/>
      </rPr>
      <t>10)</t>
    </r>
    <r>
      <rPr>
        <sz val="12"/>
        <color theme="1"/>
        <rFont val="Calibri"/>
        <family val="2"/>
        <charset val="238"/>
        <scheme val="minor"/>
      </rPr>
      <t>Suma liczby czynności=liczby zobowiązanych, którzy będą korzystać z gotówki po wejściu w życie ustawy</t>
    </r>
  </si>
  <si>
    <r>
      <t xml:space="preserve">wskaźnik efektywności egzekucji </t>
    </r>
    <r>
      <rPr>
        <vertAlign val="superscript"/>
        <sz val="12"/>
        <color theme="1"/>
        <rFont val="Calibri"/>
        <family val="2"/>
        <charset val="238"/>
        <scheme val="minor"/>
      </rPr>
      <t>12)</t>
    </r>
  </si>
  <si>
    <t>Średnia dla roku kalendarzowego</t>
  </si>
  <si>
    <r>
      <t>zaległości w VAT-MOSS</t>
    </r>
    <r>
      <rPr>
        <vertAlign val="superscript"/>
        <sz val="12"/>
        <color theme="1"/>
        <rFont val="Calibri"/>
        <family val="2"/>
        <charset val="238"/>
        <scheme val="minor"/>
      </rPr>
      <t>1)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</si>
  <si>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zaległości w VAT-MOSS w momencie wejscia w życie ustawy</t>
  </si>
  <si>
    <t>średnie zaległości w VAT-MOSS naliczane w ciągu roku kalendarzowego</t>
  </si>
  <si>
    <t>wzrost dochodów budżetu państwa
w zł</t>
  </si>
  <si>
    <t>średni wzrost roczny</t>
  </si>
  <si>
    <t>Wzrost wzrostu dochodów budżetu państwa z tytułu różnicy w wysokości opłaty egzekucyjnej dla płatności gotówkowych oraz dochodzenia VAT-MOSS</t>
  </si>
  <si>
    <r>
      <t>pierwszym roku po wejściu 
w życie ustawy</t>
    </r>
    <r>
      <rPr>
        <vertAlign val="superscript"/>
        <sz val="12"/>
        <color theme="1"/>
        <rFont val="Calibri"/>
        <family val="2"/>
        <charset val="238"/>
        <scheme val="minor"/>
      </rPr>
      <t>13)</t>
    </r>
  </si>
  <si>
    <t>str. 5</t>
  </si>
  <si>
    <t>tabela 1</t>
  </si>
  <si>
    <t>tabela 2</t>
  </si>
  <si>
    <t>tabela 3</t>
  </si>
  <si>
    <t>tabela 4</t>
  </si>
  <si>
    <r>
      <rPr>
        <vertAlign val="superscript"/>
        <sz val="12"/>
        <color theme="1"/>
        <rFont val="Calibri"/>
        <family val="2"/>
        <charset val="238"/>
        <scheme val="minor"/>
      </rPr>
      <t>2)</t>
    </r>
    <r>
      <rPr>
        <sz val="12"/>
        <color theme="1"/>
        <rFont val="Calibri"/>
        <family val="2"/>
        <charset val="238"/>
        <scheme val="minor"/>
      </rPr>
      <t xml:space="preserve"> według danych opublikowanych w dzienniku Rzeczpospolita -"Płatności bezgotówkowe to drzwi do nowoczesności" 21.10.2019 r. https://www.rp.pl/Debaty-ekonomiczne/310219938-Platnosci-bezgotowkowe-to-drzwi-do-nowoczesnosci.html </t>
    </r>
  </si>
  <si>
    <r>
      <t>0</t>
    </r>
    <r>
      <rPr>
        <vertAlign val="superscript"/>
        <sz val="12"/>
        <color theme="1"/>
        <rFont val="Calibri"/>
        <family val="2"/>
        <charset val="238"/>
        <scheme val="minor"/>
      </rPr>
      <t xml:space="preserve"> 3)</t>
    </r>
  </si>
  <si>
    <r>
      <t>1</t>
    </r>
    <r>
      <rPr>
        <vertAlign val="superscript"/>
        <sz val="12"/>
        <color theme="1"/>
        <rFont val="Calibri"/>
        <family val="2"/>
        <charset val="238"/>
        <scheme val="minor"/>
      </rPr>
      <t>4)</t>
    </r>
  </si>
  <si>
    <r>
      <t>2</t>
    </r>
    <r>
      <rPr>
        <vertAlign val="superscript"/>
        <sz val="12"/>
        <color theme="1"/>
        <rFont val="Calibri"/>
        <family val="2"/>
        <charset val="238"/>
        <scheme val="minor"/>
      </rPr>
      <t>5)</t>
    </r>
  </si>
  <si>
    <r>
      <t>3</t>
    </r>
    <r>
      <rPr>
        <vertAlign val="superscript"/>
        <sz val="12"/>
        <color theme="1"/>
        <rFont val="Calibri"/>
        <family val="2"/>
        <charset val="238"/>
        <scheme val="minor"/>
      </rPr>
      <t>6)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</si>
  <si>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tabela 6</t>
  </si>
  <si>
    <t>tabela 7</t>
  </si>
  <si>
    <t>tabela 8</t>
  </si>
  <si>
    <t>płatności gotówkowe w egzekucji prowadzonej przez organy Krajowej Administracji Skarbowej                   tabela 9</t>
  </si>
  <si>
    <t>tabela 10</t>
  </si>
  <si>
    <t>tabela 11</t>
  </si>
  <si>
    <t>tabela 12</t>
  </si>
  <si>
    <t>tabela 5</t>
  </si>
  <si>
    <r>
      <rPr>
        <vertAlign val="superscript"/>
        <sz val="12"/>
        <color theme="1"/>
        <rFont val="Calibri"/>
        <family val="2"/>
        <charset val="238"/>
        <scheme val="minor"/>
      </rPr>
      <t xml:space="preserve">6) </t>
    </r>
    <r>
      <rPr>
        <sz val="12"/>
        <color theme="1"/>
        <rFont val="Calibri"/>
        <family val="2"/>
        <charset val="238"/>
        <scheme val="minor"/>
      </rPr>
      <t>Dane z dnostek samorządu terytorialnego przekazaneo do OSR ustawy z dnia 4 lipca 2019 r. o zmianie ustawy o postępowaniu egzekucyjnym w administracji oraz niektórych innych ustaw</t>
    </r>
  </si>
  <si>
    <r>
      <t>0</t>
    </r>
    <r>
      <rPr>
        <vertAlign val="superscript"/>
        <sz val="12"/>
        <color theme="1"/>
        <rFont val="Calibri"/>
        <family val="2"/>
        <charset val="238"/>
        <scheme val="minor"/>
      </rPr>
      <t xml:space="preserve"> 7)</t>
    </r>
  </si>
  <si>
    <r>
      <t>1</t>
    </r>
    <r>
      <rPr>
        <vertAlign val="superscript"/>
        <sz val="12"/>
        <color theme="1"/>
        <rFont val="Calibri"/>
        <family val="2"/>
        <charset val="238"/>
        <scheme val="minor"/>
      </rPr>
      <t>8)</t>
    </r>
  </si>
  <si>
    <r>
      <t>2</t>
    </r>
    <r>
      <rPr>
        <vertAlign val="superscript"/>
        <sz val="12"/>
        <color theme="1"/>
        <rFont val="Calibri"/>
        <family val="2"/>
        <charset val="238"/>
        <scheme val="minor"/>
      </rPr>
      <t>9)</t>
    </r>
  </si>
  <si>
    <t>tabela 13</t>
  </si>
  <si>
    <t>tabela 14</t>
  </si>
  <si>
    <r>
      <t xml:space="preserve">12) </t>
    </r>
    <r>
      <rPr>
        <sz val="12"/>
        <color theme="1"/>
        <rFont val="Calibri"/>
        <family val="2"/>
        <charset val="238"/>
        <scheme val="minor"/>
      </rPr>
      <t xml:space="preserve">Ze względu na brak danych dotyczących skukteczności egzekucji polskich należności dochodzonych przez inne państwa w ramach wzajemnej pomocy przyjęto wskaźnik efektywności egzekucji uzyskiwany przez KAS dla wszystkich egzekwowanych należności (również na rzecz obcych wierzycieli). Wskaźnik ten jest niższy niż dla zaległości podatkowych. </t>
    </r>
  </si>
  <si>
    <r>
      <t xml:space="preserve">13) </t>
    </r>
    <r>
      <rPr>
        <sz val="12"/>
        <color theme="1"/>
        <rFont val="Calibri"/>
        <family val="2"/>
        <charset val="238"/>
        <scheme val="minor"/>
      </rPr>
      <t xml:space="preserve">Ustawa wejdzie w życie w trakcie roku budżetowego tj. 30 lipca 2019 r. zatem zakłada się, że w roku wejścia w życie  nie odnotuje się wzrostu dochodów budżetu państwa z tytułu egzekucji VAT-MOSS. Należy pamiętać, że zobowiązani z tytułu VAT-MOSS posiadają siedzibę i majątek zagranicą zatem dochodzenie tych należności będzie wymagało skierowania wniosków o pomoc w dochodzeniu do innych państw. Biorąc pod uwagę liczbę zobowiązanych zaistnieje konieczności skierowania ok. 1,5 tys. wniosków. 
Mając na względzie, że zaległości z tytułu VAT-MOSS nie były dotychczas egzekwowane nastąpiło ich skumulowanie w ostatnich kilku latach. W związku z powyższym w roku następującym po roku wejścia w życie ustawy odnotowany zostanie wyższy w wzrost dochodów budżetu państwa z tytułu egzekucji tych należności. </t>
    </r>
  </si>
  <si>
    <t>tabela 15</t>
  </si>
  <si>
    <t>str. 6</t>
  </si>
  <si>
    <t>Wzrost wzrostu dochodów jednostek sektora finansów publicznych z tytułu różnicy w wysokości opłaty egzekucyjnej dla płatności gotówkowych oraz dochodzenia VAT-MOSS</t>
  </si>
  <si>
    <t>tabela 16</t>
  </si>
  <si>
    <t>Wzrost dochodów jednostek samorządu terytorialnego w kolejnych latach po wejściu w życie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</si>
</sst>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3" fontId="19" fillId="0" borderId="10" xfId="0" applyNumberFormat="1" applyFont="1" applyBorder="1"/>
    <xf numFmtId="0" fontId="19" fillId="0" borderId="10" xfId="0" applyFont="1" applyBorder="1"/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9" fontId="19" fillId="0" borderId="10" xfId="0" applyNumberFormat="1" applyFont="1" applyBorder="1"/>
    <xf numFmtId="10" fontId="19" fillId="0" borderId="10" xfId="0" applyNumberFormat="1" applyFont="1" applyBorder="1"/>
    <xf numFmtId="4" fontId="19" fillId="0" borderId="10" xfId="0" applyNumberFormat="1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3" fontId="19" fillId="0" borderId="0" xfId="0" applyNumberFormat="1" applyFont="1" applyBorder="1"/>
    <xf numFmtId="0" fontId="19" fillId="0" borderId="0" xfId="0" applyFont="1" applyBorder="1" applyAlignment="1"/>
    <xf numFmtId="0" fontId="18" fillId="0" borderId="0" xfId="0" applyFont="1" applyAlignment="1">
      <alignment horizontal="left" wrapText="1"/>
    </xf>
    <xf numFmtId="0" fontId="19" fillId="0" borderId="11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vertical="center"/>
    </xf>
    <xf numFmtId="10" fontId="19" fillId="0" borderId="0" xfId="0" applyNumberFormat="1" applyFont="1" applyBorder="1"/>
    <xf numFmtId="3" fontId="19" fillId="0" borderId="10" xfId="0" applyNumberFormat="1" applyFont="1" applyBorder="1" applyAlignment="1">
      <alignment vertical="center"/>
    </xf>
    <xf numFmtId="0" fontId="20" fillId="0" borderId="0" xfId="0" applyFont="1"/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/>
    </xf>
    <xf numFmtId="0" fontId="19" fillId="0" borderId="18" xfId="0" applyFont="1" applyBorder="1" applyAlignment="1">
      <alignment wrapText="1"/>
    </xf>
    <xf numFmtId="0" fontId="22" fillId="0" borderId="0" xfId="0" applyFont="1" applyAlignment="1">
      <alignment horizontal="left" wrapText="1"/>
    </xf>
    <xf numFmtId="4" fontId="20" fillId="0" borderId="0" xfId="0" applyNumberFormat="1" applyFont="1" applyBorder="1" applyAlignment="1">
      <alignment horizontal="right"/>
    </xf>
    <xf numFmtId="4" fontId="19" fillId="0" borderId="0" xfId="0" applyNumberFormat="1" applyFont="1" applyBorder="1"/>
    <xf numFmtId="0" fontId="19" fillId="0" borderId="18" xfId="0" applyFont="1" applyBorder="1" applyAlignment="1">
      <alignment horizontal="right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21" fillId="0" borderId="0" xfId="0" applyFont="1"/>
    <xf numFmtId="3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vertical="top"/>
    </xf>
    <xf numFmtId="0" fontId="22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4" fontId="19" fillId="0" borderId="0" xfId="0" applyNumberFormat="1" applyFont="1"/>
    <xf numFmtId="0" fontId="19" fillId="0" borderId="10" xfId="0" applyFont="1" applyBorder="1" applyAlignment="1">
      <alignment wrapText="1"/>
    </xf>
    <xf numFmtId="0" fontId="19" fillId="0" borderId="0" xfId="0" applyNumberFormat="1" applyFont="1" applyAlignment="1">
      <alignment wrapText="1"/>
    </xf>
    <xf numFmtId="0" fontId="18" fillId="0" borderId="0" xfId="0" applyFont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19" fillId="0" borderId="11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0" xfId="0" applyFont="1" applyBorder="1" applyAlignment="1">
      <alignment horizontal="left" vertical="center"/>
    </xf>
    <xf numFmtId="0" fontId="19" fillId="0" borderId="18" xfId="0" applyFont="1" applyBorder="1" applyAlignment="1">
      <alignment horizontal="left" wrapText="1"/>
    </xf>
    <xf numFmtId="9" fontId="19" fillId="0" borderId="10" xfId="0" applyNumberFormat="1" applyFont="1" applyBorder="1" applyAlignment="1">
      <alignment horizontal="center"/>
    </xf>
    <xf numFmtId="9" fontId="19" fillId="0" borderId="13" xfId="0" applyNumberFormat="1" applyFont="1" applyBorder="1" applyAlignment="1">
      <alignment horizontal="center" vertical="center"/>
    </xf>
    <xf numFmtId="9" fontId="19" fillId="0" borderId="16" xfId="0" applyNumberFormat="1" applyFont="1" applyBorder="1" applyAlignment="1">
      <alignment horizontal="center" vertical="center"/>
    </xf>
    <xf numFmtId="9" fontId="19" fillId="0" borderId="17" xfId="0" applyNumberFormat="1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15" xfId="0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19" fillId="0" borderId="19" xfId="0" applyFont="1" applyBorder="1" applyAlignment="1">
      <alignment horizontal="left" wrapText="1"/>
    </xf>
    <xf numFmtId="0" fontId="20" fillId="0" borderId="0" xfId="0" applyFont="1" applyAlignment="1">
      <alignment horizontal="left" vertical="top" wrapText="1"/>
    </xf>
    <xf numFmtId="10" fontId="19" fillId="0" borderId="10" xfId="0" applyNumberFormat="1" applyFont="1" applyBorder="1" applyAlignment="1">
      <alignment horizontal="center" vertical="center"/>
    </xf>
  </cellXfs>
  <cellStyles count="42">
    <cellStyle name="20% — akcent 1" xfId="18" builtinId="30" customBuiltin="1"/>
    <cellStyle name="20% — akcent 2" xfId="21" builtinId="34" customBuiltin="1"/>
    <cellStyle name="20% — akcent 3" xfId="24" builtinId="38" customBuiltin="1"/>
    <cellStyle name="20% — akcent 4" xfId="27" builtinId="42" customBuiltin="1"/>
    <cellStyle name="20% — akcent 5" xfId="30" builtinId="46" customBuiltin="1"/>
    <cellStyle name="20% — akcent 6" xfId="33" builtinId="50" customBuiltin="1"/>
    <cellStyle name="40% — akcent 1" xfId="19" builtinId="31" customBuiltin="1"/>
    <cellStyle name="40% — akcent 2" xfId="22" builtinId="35" customBuiltin="1"/>
    <cellStyle name="40% — akcent 3" xfId="25" builtinId="39" customBuiltin="1"/>
    <cellStyle name="40% — akcent 4" xfId="28" builtinId="43" customBuiltin="1"/>
    <cellStyle name="40% — akcent 5" xfId="31" builtinId="47" customBuiltin="1"/>
    <cellStyle name="40% — akcent 6" xfId="34" builtinId="51" customBuiltin="1"/>
    <cellStyle name="60% — akcent 1 2" xfId="36"/>
    <cellStyle name="60% — akcent 2 2" xfId="37"/>
    <cellStyle name="60% — akcent 3 2" xfId="38"/>
    <cellStyle name="60% — akcent 4 2" xfId="39"/>
    <cellStyle name="60% — akcent 5 2" xfId="40"/>
    <cellStyle name="60% — akcent 6 2" xfId="41"/>
    <cellStyle name="Akcent 1" xfId="17" builtinId="29" customBuiltin="1"/>
    <cellStyle name="Akcent 2" xfId="20" builtinId="33" customBuiltin="1"/>
    <cellStyle name="Akcent 3" xfId="23" builtinId="37" customBuiltin="1"/>
    <cellStyle name="Akcent 4" xfId="26" builtinId="41" customBuiltin="1"/>
    <cellStyle name="Akcent 5" xfId="29" builtinId="45" customBuiltin="1"/>
    <cellStyle name="Akcent 6" xfId="32" builtinId="49" customBuiltin="1"/>
    <cellStyle name="Dane wejściowe" xfId="8" builtinId="20" customBuiltin="1"/>
    <cellStyle name="Dane wyjściowe" xfId="9" builtinId="21" customBuiltin="1"/>
    <cellStyle name="Dobry" xfId="6" builtinId="26" customBuiltin="1"/>
    <cellStyle name="Komórka połączona" xfId="11" builtinId="24" customBuiltin="1"/>
    <cellStyle name="Komórka zaznaczona" xfId="12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 2" xfId="35"/>
    <cellStyle name="Normalny" xfId="0" builtinId="0"/>
    <cellStyle name="Obliczenia" xfId="10" builtinId="22" customBuiltin="1"/>
    <cellStyle name="Suma" xfId="16" builtinId="25" customBuiltin="1"/>
    <cellStyle name="Tekst objaśnienia" xfId="15" builtinId="53" customBuiltin="1"/>
    <cellStyle name="Tekst ostrzeżenia" xfId="13" builtinId="11" customBuiltin="1"/>
    <cellStyle name="Tytuł" xfId="1" builtinId="15" customBuiltin="1"/>
    <cellStyle name="Uwaga" xfId="14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3" zoomScale="60" zoomScaleNormal="100" workbookViewId="0">
      <selection activeCell="C28" sqref="C28"/>
    </sheetView>
  </sheetViews>
  <sheetFormatPr defaultRowHeight="15" x14ac:dyDescent="0.25"/>
  <cols>
    <col min="1" max="1" width="25" customWidth="1"/>
    <col min="2" max="2" width="12.140625" bestFit="1" customWidth="1"/>
    <col min="3" max="3" width="14.42578125" customWidth="1"/>
    <col min="4" max="4" width="12.5703125" customWidth="1"/>
    <col min="5" max="6" width="16" bestFit="1" customWidth="1"/>
    <col min="7" max="8" width="12.42578125" bestFit="1" customWidth="1"/>
  </cols>
  <sheetData>
    <row r="1" spans="1:8" s="6" customFormat="1" ht="64.900000000000006" customHeight="1" x14ac:dyDescent="0.25">
      <c r="A1" s="49" t="s">
        <v>39</v>
      </c>
      <c r="B1" s="49"/>
      <c r="C1" s="49"/>
      <c r="D1" s="49"/>
      <c r="E1" s="49"/>
      <c r="F1" s="49"/>
      <c r="G1" s="49"/>
      <c r="H1" s="1"/>
    </row>
    <row r="2" spans="1:8" s="6" customFormat="1" ht="18" hidden="1" customHeight="1" x14ac:dyDescent="0.25">
      <c r="A2" s="49"/>
      <c r="B2" s="49"/>
      <c r="C2" s="49"/>
      <c r="D2" s="49"/>
      <c r="E2" s="49"/>
      <c r="F2" s="49"/>
      <c r="G2" s="49"/>
      <c r="H2" s="1"/>
    </row>
    <row r="3" spans="1:8" s="6" customFormat="1" ht="18" customHeight="1" x14ac:dyDescent="0.3">
      <c r="A3" s="32"/>
      <c r="B3" s="32"/>
      <c r="C3" s="32"/>
      <c r="D3" s="37" t="s">
        <v>78</v>
      </c>
      <c r="E3" s="32"/>
      <c r="F3" s="32"/>
      <c r="G3" s="23" t="s">
        <v>62</v>
      </c>
      <c r="H3" s="1"/>
    </row>
    <row r="4" spans="1:8" s="6" customFormat="1" ht="27.6" customHeight="1" x14ac:dyDescent="0.25">
      <c r="A4" s="54" t="s">
        <v>24</v>
      </c>
      <c r="B4" s="55"/>
      <c r="C4" s="55"/>
      <c r="D4" s="56"/>
      <c r="E4" s="2"/>
      <c r="F4" s="2"/>
      <c r="G4" s="2"/>
    </row>
    <row r="5" spans="1:8" s="6" customFormat="1" ht="15.75" x14ac:dyDescent="0.25">
      <c r="A5" s="5"/>
      <c r="B5" s="3">
        <v>2017</v>
      </c>
      <c r="C5" s="3">
        <v>2018</v>
      </c>
      <c r="D5" s="3" t="s">
        <v>14</v>
      </c>
      <c r="E5" s="2"/>
      <c r="F5" s="2"/>
      <c r="G5" s="2"/>
    </row>
    <row r="6" spans="1:8" s="6" customFormat="1" ht="15.75" x14ac:dyDescent="0.25">
      <c r="A6" s="57" t="s">
        <v>15</v>
      </c>
      <c r="B6" s="58"/>
      <c r="C6" s="58"/>
      <c r="D6" s="59"/>
      <c r="E6" s="2"/>
      <c r="F6" s="2"/>
      <c r="G6" s="2"/>
    </row>
    <row r="7" spans="1:8" ht="31.5" x14ac:dyDescent="0.25">
      <c r="A7" s="26" t="s">
        <v>13</v>
      </c>
      <c r="B7" s="4">
        <v>325498750</v>
      </c>
      <c r="C7" s="4">
        <v>253055054</v>
      </c>
      <c r="D7" s="4">
        <f>(B7+C7)/2</f>
        <v>289276902</v>
      </c>
      <c r="E7" s="2"/>
      <c r="F7" s="2"/>
      <c r="G7" s="2"/>
    </row>
    <row r="8" spans="1:8" ht="31.5" x14ac:dyDescent="0.25">
      <c r="A8" s="26" t="s">
        <v>31</v>
      </c>
      <c r="B8" s="4">
        <v>499385748</v>
      </c>
      <c r="C8" s="4">
        <v>543140825</v>
      </c>
      <c r="D8" s="4">
        <f>(B8+C8)/2</f>
        <v>521263286.5</v>
      </c>
      <c r="E8" s="2"/>
      <c r="F8" s="2"/>
      <c r="G8" s="2"/>
    </row>
    <row r="9" spans="1:8" ht="18" x14ac:dyDescent="0.25">
      <c r="A9" s="2" t="s">
        <v>61</v>
      </c>
      <c r="B9" s="2"/>
      <c r="C9" s="2"/>
      <c r="D9" s="2"/>
      <c r="E9" s="2"/>
      <c r="F9" s="36" t="s">
        <v>79</v>
      </c>
      <c r="G9" s="2"/>
    </row>
    <row r="10" spans="1:8" ht="35.450000000000003" customHeight="1" x14ac:dyDescent="0.25">
      <c r="A10" s="2"/>
      <c r="B10" s="2"/>
      <c r="C10" s="2"/>
      <c r="D10" s="2"/>
      <c r="E10" s="52" t="s">
        <v>22</v>
      </c>
      <c r="F10" s="52"/>
      <c r="G10" s="2"/>
    </row>
    <row r="11" spans="1:8" ht="65.25" x14ac:dyDescent="0.25">
      <c r="A11" s="27" t="s">
        <v>40</v>
      </c>
      <c r="B11" s="27" t="s">
        <v>1</v>
      </c>
      <c r="C11" s="27" t="s">
        <v>2</v>
      </c>
      <c r="D11" s="27" t="s">
        <v>23</v>
      </c>
      <c r="E11" s="27" t="s">
        <v>16</v>
      </c>
      <c r="F11" s="7" t="s">
        <v>17</v>
      </c>
      <c r="G11" s="2"/>
    </row>
    <row r="12" spans="1:8" ht="15.75" x14ac:dyDescent="0.25">
      <c r="A12" s="4">
        <v>5352364101.1300001</v>
      </c>
      <c r="B12" s="4">
        <f>D7</f>
        <v>289276902</v>
      </c>
      <c r="C12" s="4">
        <f>D8</f>
        <v>521263286.5</v>
      </c>
      <c r="D12" s="8">
        <v>0.5</v>
      </c>
      <c r="E12" s="4">
        <f>B12*D12</f>
        <v>144638451</v>
      </c>
      <c r="F12" s="4">
        <f>C12*D12</f>
        <v>260631643.25</v>
      </c>
      <c r="G12" s="2"/>
    </row>
    <row r="13" spans="1:8" ht="33.6" customHeight="1" x14ac:dyDescent="0.25">
      <c r="A13" s="53" t="s">
        <v>82</v>
      </c>
      <c r="B13" s="53"/>
      <c r="C13" s="53"/>
      <c r="D13" s="53"/>
      <c r="E13" s="53"/>
      <c r="F13" s="53"/>
      <c r="G13" s="53"/>
    </row>
    <row r="14" spans="1:8" ht="15.75" x14ac:dyDescent="0.25">
      <c r="A14" s="2"/>
      <c r="B14" s="2"/>
      <c r="C14" s="2"/>
      <c r="D14" s="2"/>
      <c r="E14" s="2"/>
      <c r="F14" s="36" t="s">
        <v>80</v>
      </c>
      <c r="G14" s="2"/>
    </row>
    <row r="15" spans="1:8" ht="15.75" x14ac:dyDescent="0.25">
      <c r="A15" s="57" t="s">
        <v>41</v>
      </c>
      <c r="B15" s="58"/>
      <c r="C15" s="58"/>
      <c r="D15" s="58"/>
      <c r="E15" s="58"/>
      <c r="F15" s="58"/>
      <c r="G15" s="59"/>
    </row>
    <row r="16" spans="1:8" s="6" customFormat="1" ht="31.15" customHeight="1" x14ac:dyDescent="0.25">
      <c r="A16" s="51" t="s">
        <v>10</v>
      </c>
      <c r="B16" s="51"/>
      <c r="C16" s="5"/>
      <c r="D16" s="50" t="s">
        <v>6</v>
      </c>
      <c r="E16" s="50"/>
      <c r="F16" s="52" t="s">
        <v>7</v>
      </c>
      <c r="G16" s="52"/>
    </row>
    <row r="17" spans="1:7" ht="78.75" x14ac:dyDescent="0.25">
      <c r="A17" s="26" t="s">
        <v>3</v>
      </c>
      <c r="B17" s="26" t="s">
        <v>4</v>
      </c>
      <c r="C17" s="26" t="s">
        <v>5</v>
      </c>
      <c r="D17" s="26" t="s">
        <v>8</v>
      </c>
      <c r="E17" s="26" t="s">
        <v>9</v>
      </c>
      <c r="F17" s="26" t="s">
        <v>11</v>
      </c>
      <c r="G17" s="26" t="s">
        <v>0</v>
      </c>
    </row>
    <row r="18" spans="1:7" ht="15.75" x14ac:dyDescent="0.25">
      <c r="A18" s="4">
        <f>E12</f>
        <v>144638451</v>
      </c>
      <c r="B18" s="4">
        <f>F12</f>
        <v>260631643.25</v>
      </c>
      <c r="C18" s="9">
        <v>0.01</v>
      </c>
      <c r="D18" s="4">
        <f>A18*C18</f>
        <v>1446384.51</v>
      </c>
      <c r="E18" s="4">
        <f>B18*C18</f>
        <v>2606316.4325000001</v>
      </c>
      <c r="F18" s="4">
        <f>D18+E18</f>
        <v>4052700.9424999999</v>
      </c>
      <c r="G18" s="10">
        <f>F18/1000000</f>
        <v>4.0527009424999996</v>
      </c>
    </row>
    <row r="19" spans="1:7" ht="15.75" x14ac:dyDescent="0.25">
      <c r="A19" s="2"/>
      <c r="B19" s="2"/>
      <c r="C19" s="2"/>
      <c r="D19" s="2"/>
      <c r="E19" s="2"/>
      <c r="F19" s="2"/>
      <c r="G19" s="2"/>
    </row>
    <row r="20" spans="1:7" ht="62.45" customHeight="1" x14ac:dyDescent="0.25">
      <c r="A20" s="61" t="s">
        <v>12</v>
      </c>
      <c r="B20" s="61"/>
      <c r="C20" s="31" t="s">
        <v>81</v>
      </c>
      <c r="D20" s="2"/>
      <c r="E20" s="2"/>
      <c r="F20" s="2"/>
      <c r="G20" s="2"/>
    </row>
    <row r="21" spans="1:7" ht="15.75" x14ac:dyDescent="0.25">
      <c r="A21" s="57" t="s">
        <v>18</v>
      </c>
      <c r="B21" s="59"/>
      <c r="C21" s="5" t="s">
        <v>0</v>
      </c>
      <c r="D21" s="13"/>
      <c r="E21" s="13"/>
      <c r="F21" s="2"/>
      <c r="G21" s="2"/>
    </row>
    <row r="22" spans="1:7" ht="18" x14ac:dyDescent="0.25">
      <c r="A22" s="60" t="s">
        <v>83</v>
      </c>
      <c r="B22" s="60"/>
      <c r="C22" s="10">
        <f>G18*0.42</f>
        <v>1.7021343958499997</v>
      </c>
      <c r="D22" s="33"/>
      <c r="E22" s="34"/>
      <c r="F22" s="2"/>
      <c r="G22" s="2"/>
    </row>
    <row r="23" spans="1:7" ht="18" x14ac:dyDescent="0.25">
      <c r="A23" s="60" t="s">
        <v>84</v>
      </c>
      <c r="B23" s="60"/>
      <c r="C23" s="10">
        <v>4.05</v>
      </c>
      <c r="D23" s="34"/>
      <c r="E23" s="34"/>
      <c r="F23" s="2"/>
      <c r="G23" s="2"/>
    </row>
    <row r="24" spans="1:7" ht="18" x14ac:dyDescent="0.25">
      <c r="A24" s="60" t="s">
        <v>85</v>
      </c>
      <c r="B24" s="60"/>
      <c r="C24" s="10">
        <f>4.05*0.9</f>
        <v>3.645</v>
      </c>
      <c r="D24" s="34"/>
      <c r="E24" s="34"/>
      <c r="F24" s="2"/>
      <c r="G24" s="2"/>
    </row>
    <row r="25" spans="1:7" ht="18" x14ac:dyDescent="0.25">
      <c r="A25" s="60" t="s">
        <v>86</v>
      </c>
      <c r="B25" s="60"/>
      <c r="C25" s="10">
        <f>4.05*0.8</f>
        <v>3.24</v>
      </c>
      <c r="D25" s="34"/>
      <c r="E25" s="34"/>
      <c r="F25" s="2"/>
      <c r="G25" s="2"/>
    </row>
    <row r="26" spans="1:7" ht="15.75" x14ac:dyDescent="0.25">
      <c r="A26" s="60">
        <v>4</v>
      </c>
      <c r="B26" s="60"/>
      <c r="C26" s="10">
        <f>4.05*0.7</f>
        <v>2.8349999999999995</v>
      </c>
      <c r="D26" s="34"/>
      <c r="E26" s="34"/>
      <c r="F26" s="2"/>
      <c r="G26" s="2"/>
    </row>
    <row r="27" spans="1:7" ht="15.75" x14ac:dyDescent="0.25">
      <c r="A27" s="60">
        <v>5</v>
      </c>
      <c r="B27" s="60"/>
      <c r="C27" s="10">
        <f>4.05*0.6</f>
        <v>2.4299999999999997</v>
      </c>
      <c r="D27" s="34"/>
      <c r="E27" s="34"/>
      <c r="F27" s="2"/>
      <c r="G27" s="2"/>
    </row>
    <row r="28" spans="1:7" ht="15.75" x14ac:dyDescent="0.25">
      <c r="A28" s="60">
        <v>6</v>
      </c>
      <c r="B28" s="60"/>
      <c r="C28" s="10">
        <f>4.05*0.5</f>
        <v>2.0249999999999999</v>
      </c>
      <c r="D28" s="34"/>
      <c r="E28" s="34"/>
      <c r="F28" s="2"/>
      <c r="G28" s="2"/>
    </row>
    <row r="29" spans="1:7" ht="15.75" x14ac:dyDescent="0.25">
      <c r="A29" s="60">
        <v>7</v>
      </c>
      <c r="B29" s="60"/>
      <c r="C29" s="10">
        <f t="shared" ref="C29:C32" si="0">4.05*0.5</f>
        <v>2.0249999999999999</v>
      </c>
      <c r="D29" s="34"/>
      <c r="E29" s="34"/>
      <c r="F29" s="2"/>
      <c r="G29" s="2"/>
    </row>
    <row r="30" spans="1:7" ht="15.75" x14ac:dyDescent="0.25">
      <c r="A30" s="60">
        <v>8</v>
      </c>
      <c r="B30" s="60"/>
      <c r="C30" s="10">
        <f t="shared" si="0"/>
        <v>2.0249999999999999</v>
      </c>
      <c r="D30" s="34"/>
      <c r="E30" s="34"/>
      <c r="F30" s="2"/>
      <c r="G30" s="2"/>
    </row>
    <row r="31" spans="1:7" ht="15.75" x14ac:dyDescent="0.25">
      <c r="A31" s="60">
        <v>9</v>
      </c>
      <c r="B31" s="60"/>
      <c r="C31" s="10">
        <f t="shared" si="0"/>
        <v>2.0249999999999999</v>
      </c>
      <c r="D31" s="34"/>
      <c r="E31" s="34"/>
      <c r="F31" s="2"/>
      <c r="G31" s="2"/>
    </row>
    <row r="32" spans="1:7" ht="15.75" x14ac:dyDescent="0.25">
      <c r="A32" s="60">
        <v>10</v>
      </c>
      <c r="B32" s="60"/>
      <c r="C32" s="10">
        <f t="shared" si="0"/>
        <v>2.0249999999999999</v>
      </c>
      <c r="D32" s="34"/>
      <c r="E32" s="34"/>
      <c r="F32" s="2"/>
      <c r="G32" s="2"/>
    </row>
    <row r="33" spans="1:7" ht="15.75" x14ac:dyDescent="0.25">
      <c r="A33" s="60" t="s">
        <v>19</v>
      </c>
      <c r="B33" s="60"/>
      <c r="C33" s="10">
        <f>SUM(C22:C32)</f>
        <v>28.027134395849991</v>
      </c>
      <c r="D33" s="34"/>
      <c r="E33" s="34"/>
      <c r="F33" s="2"/>
      <c r="G33" s="2"/>
    </row>
    <row r="34" spans="1:7" x14ac:dyDescent="0.25">
      <c r="A34" s="53" t="s">
        <v>26</v>
      </c>
      <c r="B34" s="53"/>
      <c r="C34" s="53"/>
      <c r="D34" s="53"/>
      <c r="E34" s="53"/>
      <c r="F34" s="53"/>
      <c r="G34" s="53"/>
    </row>
    <row r="35" spans="1:7" ht="30" customHeight="1" x14ac:dyDescent="0.25">
      <c r="A35" s="53"/>
      <c r="B35" s="53"/>
      <c r="C35" s="53"/>
      <c r="D35" s="53"/>
      <c r="E35" s="53"/>
      <c r="F35" s="53"/>
      <c r="G35" s="53"/>
    </row>
    <row r="36" spans="1:7" ht="24" customHeight="1" x14ac:dyDescent="0.25">
      <c r="A36" s="53" t="s">
        <v>27</v>
      </c>
      <c r="B36" s="53"/>
      <c r="C36" s="53"/>
      <c r="D36" s="53"/>
      <c r="E36" s="53"/>
      <c r="F36" s="53"/>
      <c r="G36" s="53"/>
    </row>
    <row r="37" spans="1:7" ht="1.9" customHeight="1" x14ac:dyDescent="0.25">
      <c r="A37" s="53"/>
      <c r="B37" s="53"/>
      <c r="C37" s="53"/>
      <c r="D37" s="53"/>
      <c r="E37" s="53"/>
      <c r="F37" s="53"/>
      <c r="G37" s="53"/>
    </row>
    <row r="38" spans="1:7" x14ac:dyDescent="0.25">
      <c r="A38" s="48" t="s">
        <v>28</v>
      </c>
      <c r="B38" s="48"/>
      <c r="C38" s="48"/>
      <c r="D38" s="48"/>
      <c r="E38" s="48"/>
      <c r="F38" s="48"/>
      <c r="G38" s="48"/>
    </row>
    <row r="39" spans="1:7" x14ac:dyDescent="0.25">
      <c r="A39" s="48"/>
      <c r="B39" s="48"/>
      <c r="C39" s="48"/>
      <c r="D39" s="48"/>
      <c r="E39" s="48"/>
      <c r="F39" s="48"/>
      <c r="G39" s="48"/>
    </row>
    <row r="40" spans="1:7" x14ac:dyDescent="0.25">
      <c r="A40" s="48"/>
      <c r="B40" s="48"/>
      <c r="C40" s="48"/>
      <c r="D40" s="48"/>
      <c r="E40" s="48"/>
      <c r="F40" s="48"/>
      <c r="G40" s="48"/>
    </row>
    <row r="41" spans="1:7" x14ac:dyDescent="0.25">
      <c r="A41" s="48"/>
      <c r="B41" s="48"/>
      <c r="C41" s="48"/>
      <c r="D41" s="48"/>
      <c r="E41" s="48"/>
      <c r="F41" s="48"/>
      <c r="G41" s="48"/>
    </row>
    <row r="42" spans="1:7" ht="44.45" customHeight="1" x14ac:dyDescent="0.25">
      <c r="A42" s="48"/>
      <c r="B42" s="48"/>
      <c r="C42" s="48"/>
      <c r="D42" s="48"/>
      <c r="E42" s="48"/>
      <c r="F42" s="48"/>
      <c r="G42" s="48"/>
    </row>
  </sheetData>
  <mergeCells count="26">
    <mergeCell ref="A20:B20"/>
    <mergeCell ref="A32:B32"/>
    <mergeCell ref="A33:B33"/>
    <mergeCell ref="A34:G35"/>
    <mergeCell ref="A36:G37"/>
    <mergeCell ref="A27:B27"/>
    <mergeCell ref="A28:B28"/>
    <mergeCell ref="A29:B29"/>
    <mergeCell ref="A30:B30"/>
    <mergeCell ref="A31:B31"/>
    <mergeCell ref="A38:G42"/>
    <mergeCell ref="A1:G2"/>
    <mergeCell ref="D16:E16"/>
    <mergeCell ref="A16:B16"/>
    <mergeCell ref="F16:G16"/>
    <mergeCell ref="A13:G13"/>
    <mergeCell ref="A4:D4"/>
    <mergeCell ref="A6:D6"/>
    <mergeCell ref="E10:F10"/>
    <mergeCell ref="A15:G15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25" zoomScaleNormal="100" workbookViewId="0">
      <selection activeCell="H26" sqref="H26"/>
    </sheetView>
  </sheetViews>
  <sheetFormatPr defaultRowHeight="15" x14ac:dyDescent="0.25"/>
  <cols>
    <col min="1" max="1" width="17" customWidth="1"/>
    <col min="2" max="2" width="13.28515625" customWidth="1"/>
    <col min="3" max="3" width="13.7109375" customWidth="1"/>
    <col min="4" max="4" width="15.7109375" customWidth="1"/>
    <col min="5" max="5" width="13" style="6" customWidth="1"/>
    <col min="6" max="6" width="16.140625" style="6" customWidth="1"/>
    <col min="7" max="7" width="11.140625" customWidth="1"/>
    <col min="8" max="8" width="15.28515625" customWidth="1"/>
    <col min="9" max="9" width="13" customWidth="1"/>
    <col min="10" max="10" width="12.42578125" customWidth="1"/>
  </cols>
  <sheetData>
    <row r="1" spans="1:12" x14ac:dyDescent="0.25">
      <c r="A1" s="66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30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8.75" x14ac:dyDescent="0.3">
      <c r="L3" s="40" t="s">
        <v>64</v>
      </c>
    </row>
    <row r="5" spans="1:12" ht="21" customHeight="1" x14ac:dyDescent="0.25">
      <c r="A5" s="69" t="s">
        <v>90</v>
      </c>
      <c r="B5" s="70"/>
      <c r="C5" s="70"/>
      <c r="D5" s="70"/>
      <c r="E5" s="70"/>
      <c r="F5" s="70"/>
      <c r="G5" s="70"/>
      <c r="H5" s="70"/>
      <c r="I5" s="70"/>
      <c r="J5" s="70"/>
    </row>
    <row r="6" spans="1:12" s="6" customFormat="1" ht="64.150000000000006" customHeight="1" x14ac:dyDescent="0.25">
      <c r="A6" s="27"/>
      <c r="B6" s="51" t="s">
        <v>66</v>
      </c>
      <c r="C6" s="51"/>
      <c r="D6" s="51"/>
      <c r="E6" s="54" t="s">
        <v>33</v>
      </c>
      <c r="F6" s="55"/>
      <c r="G6" s="56"/>
      <c r="H6" s="27" t="s">
        <v>23</v>
      </c>
      <c r="I6" s="52" t="s">
        <v>34</v>
      </c>
      <c r="J6" s="52"/>
    </row>
    <row r="7" spans="1:12" ht="92.45" customHeight="1" x14ac:dyDescent="0.25">
      <c r="A7" s="5"/>
      <c r="B7" s="3">
        <v>2017</v>
      </c>
      <c r="C7" s="3">
        <v>2018</v>
      </c>
      <c r="D7" s="3" t="s">
        <v>14</v>
      </c>
      <c r="E7" s="3">
        <v>2017</v>
      </c>
      <c r="F7" s="3">
        <v>2018</v>
      </c>
      <c r="G7" s="3" t="s">
        <v>14</v>
      </c>
      <c r="H7" s="63">
        <v>0.5</v>
      </c>
      <c r="I7" s="7" t="s">
        <v>21</v>
      </c>
      <c r="J7" s="26" t="s">
        <v>35</v>
      </c>
    </row>
    <row r="8" spans="1:12" ht="45" customHeight="1" x14ac:dyDescent="0.25">
      <c r="A8" s="26" t="s">
        <v>13</v>
      </c>
      <c r="B8" s="4">
        <v>437080</v>
      </c>
      <c r="C8" s="4">
        <v>357292</v>
      </c>
      <c r="D8" s="4">
        <f>(B8+C8)/2</f>
        <v>397186</v>
      </c>
      <c r="E8" s="4">
        <v>745</v>
      </c>
      <c r="F8" s="4">
        <v>708</v>
      </c>
      <c r="G8" s="4">
        <f>(E8+F8)/2</f>
        <v>726.5</v>
      </c>
      <c r="H8" s="64"/>
      <c r="I8" s="4">
        <f>D8*H7</f>
        <v>198593</v>
      </c>
      <c r="J8" s="4">
        <f>G8*H7</f>
        <v>363.25</v>
      </c>
    </row>
    <row r="9" spans="1:12" ht="72.599999999999994" customHeight="1" x14ac:dyDescent="0.25">
      <c r="A9" s="26" t="s">
        <v>30</v>
      </c>
      <c r="B9" s="4">
        <v>311538</v>
      </c>
      <c r="C9" s="4">
        <v>313512</v>
      </c>
      <c r="D9" s="4">
        <f>(B9+C9)/2</f>
        <v>312525</v>
      </c>
      <c r="E9" s="4">
        <v>1603</v>
      </c>
      <c r="F9" s="4">
        <v>1732</v>
      </c>
      <c r="G9" s="4">
        <f>(E9+F9)/2</f>
        <v>1667.5</v>
      </c>
      <c r="H9" s="65"/>
      <c r="I9" s="4">
        <f>D9*H7</f>
        <v>156262.5</v>
      </c>
      <c r="J9" s="4">
        <f>G9*H7</f>
        <v>833.75</v>
      </c>
    </row>
    <row r="10" spans="1:12" ht="18" x14ac:dyDescent="0.25">
      <c r="A10" s="2" t="s">
        <v>67</v>
      </c>
      <c r="B10" s="2"/>
      <c r="C10" s="2"/>
      <c r="D10" s="2"/>
      <c r="E10" s="2"/>
      <c r="F10" s="2"/>
      <c r="G10" s="2"/>
      <c r="H10" s="2"/>
      <c r="I10" s="4">
        <f>I8+I9</f>
        <v>354855.5</v>
      </c>
      <c r="J10" s="2"/>
    </row>
    <row r="11" spans="1:12" ht="15.75" x14ac:dyDescent="0.25">
      <c r="A11" s="13"/>
      <c r="B11" s="13"/>
      <c r="C11" s="13"/>
      <c r="D11" s="13"/>
      <c r="E11" s="13"/>
      <c r="F11" s="13"/>
      <c r="G11" s="11"/>
      <c r="H11" s="11"/>
      <c r="I11" s="2"/>
      <c r="J11" s="2"/>
    </row>
    <row r="12" spans="1:12" ht="40.9" customHeight="1" x14ac:dyDescent="0.25">
      <c r="A12" s="61" t="s">
        <v>29</v>
      </c>
      <c r="B12" s="61"/>
      <c r="C12" s="61"/>
      <c r="D12" s="35" t="s">
        <v>91</v>
      </c>
      <c r="E12" s="12"/>
      <c r="F12" s="12"/>
      <c r="G12" s="11"/>
      <c r="H12" s="11"/>
      <c r="I12" s="2"/>
      <c r="J12" s="2"/>
    </row>
    <row r="13" spans="1:12" ht="79.900000000000006" customHeight="1" x14ac:dyDescent="0.25">
      <c r="A13" s="5"/>
      <c r="B13" s="26" t="s">
        <v>36</v>
      </c>
      <c r="C13" s="26" t="s">
        <v>37</v>
      </c>
      <c r="D13" s="26" t="s">
        <v>38</v>
      </c>
      <c r="E13" s="15"/>
      <c r="F13" s="15"/>
      <c r="G13" s="11"/>
      <c r="H13" s="11"/>
      <c r="I13" s="2"/>
      <c r="J13" s="2"/>
    </row>
    <row r="14" spans="1:12" ht="31.5" x14ac:dyDescent="0.25">
      <c r="A14" s="26" t="s">
        <v>3</v>
      </c>
      <c r="B14" s="4">
        <f>J8</f>
        <v>363.25</v>
      </c>
      <c r="C14" s="62">
        <v>0.01</v>
      </c>
      <c r="D14" s="4">
        <f>B14*C14</f>
        <v>3.6325000000000003</v>
      </c>
      <c r="E14" s="14"/>
      <c r="F14" s="14"/>
      <c r="G14" s="11"/>
      <c r="H14" s="11"/>
      <c r="I14" s="2"/>
      <c r="J14" s="2"/>
    </row>
    <row r="15" spans="1:12" ht="31.5" x14ac:dyDescent="0.25">
      <c r="A15" s="26" t="s">
        <v>32</v>
      </c>
      <c r="B15" s="4">
        <f>J9</f>
        <v>833.75</v>
      </c>
      <c r="C15" s="62"/>
      <c r="D15" s="4">
        <f>B15*C14</f>
        <v>8.3375000000000004</v>
      </c>
      <c r="E15" s="14"/>
      <c r="F15" s="14"/>
      <c r="G15" s="11"/>
      <c r="H15" s="11"/>
      <c r="I15" s="2"/>
      <c r="J15" s="2"/>
    </row>
    <row r="16" spans="1:12" ht="15.75" x14ac:dyDescent="0.25">
      <c r="A16" s="11"/>
      <c r="B16" s="11"/>
      <c r="C16" s="11"/>
      <c r="D16" s="11"/>
      <c r="E16" s="11"/>
      <c r="F16" s="11"/>
      <c r="G16" s="11"/>
      <c r="H16" s="11"/>
      <c r="I16" s="2"/>
      <c r="J16" s="2"/>
    </row>
    <row r="17" spans="1:10" ht="36.6" customHeight="1" x14ac:dyDescent="0.25">
      <c r="A17" s="71" t="s">
        <v>46</v>
      </c>
      <c r="B17" s="61"/>
      <c r="C17" s="61"/>
      <c r="D17" s="61"/>
      <c r="E17" s="61"/>
      <c r="F17" s="61"/>
      <c r="G17" s="38" t="s">
        <v>92</v>
      </c>
      <c r="H17" s="13"/>
      <c r="I17" s="13"/>
      <c r="J17" s="13"/>
    </row>
    <row r="18" spans="1:10" ht="76.900000000000006" customHeight="1" x14ac:dyDescent="0.25">
      <c r="A18" s="27"/>
      <c r="B18" s="26" t="s">
        <v>25</v>
      </c>
      <c r="C18" s="17" t="s">
        <v>47</v>
      </c>
      <c r="D18" s="27" t="s">
        <v>48</v>
      </c>
      <c r="E18" s="27" t="s">
        <v>23</v>
      </c>
      <c r="F18" s="52" t="s">
        <v>34</v>
      </c>
      <c r="G18" s="52"/>
      <c r="H18" s="13"/>
      <c r="I18" s="68"/>
      <c r="J18" s="68"/>
    </row>
    <row r="19" spans="1:10" ht="94.5" x14ac:dyDescent="0.25">
      <c r="A19" s="5"/>
      <c r="B19" s="3"/>
      <c r="C19" s="3"/>
      <c r="D19" s="19"/>
      <c r="E19" s="63">
        <v>0.5</v>
      </c>
      <c r="F19" s="7" t="s">
        <v>21</v>
      </c>
      <c r="G19" s="26" t="s">
        <v>35</v>
      </c>
      <c r="H19" s="13"/>
      <c r="I19" s="18"/>
      <c r="J19" s="13"/>
    </row>
    <row r="20" spans="1:10" ht="31.5" x14ac:dyDescent="0.25">
      <c r="A20" s="26" t="s">
        <v>13</v>
      </c>
      <c r="B20" s="4">
        <v>74027</v>
      </c>
      <c r="C20" s="4">
        <v>26657628</v>
      </c>
      <c r="D20" s="21">
        <f>C20/B20</f>
        <v>360.10682588785176</v>
      </c>
      <c r="E20" s="64"/>
      <c r="F20" s="4">
        <f>B20*E19</f>
        <v>37013.5</v>
      </c>
      <c r="G20" s="4">
        <f>D20*E19</f>
        <v>180.05341294392588</v>
      </c>
      <c r="H20" s="14"/>
      <c r="I20" s="14"/>
      <c r="J20" s="14"/>
    </row>
    <row r="21" spans="1:10" ht="33.75" x14ac:dyDescent="0.25">
      <c r="A21" s="26" t="s">
        <v>53</v>
      </c>
      <c r="B21" s="4">
        <f>B20*0.75</f>
        <v>55520.25</v>
      </c>
      <c r="C21" s="4">
        <f>'gotówka jst'!B9</f>
        <v>19944004</v>
      </c>
      <c r="D21" s="21">
        <f>C21/B21</f>
        <v>359.220356536579</v>
      </c>
      <c r="E21" s="65"/>
      <c r="F21" s="4">
        <f>B21*E19</f>
        <v>27760.125</v>
      </c>
      <c r="G21" s="4">
        <f>D21*E19</f>
        <v>179.6101782682895</v>
      </c>
      <c r="H21" s="14"/>
      <c r="I21" s="14"/>
      <c r="J21" s="14"/>
    </row>
    <row r="22" spans="1:10" ht="18" x14ac:dyDescent="0.25">
      <c r="A22" s="2" t="s">
        <v>67</v>
      </c>
      <c r="B22" s="2"/>
      <c r="C22" s="2"/>
      <c r="D22" s="2"/>
      <c r="E22" s="2"/>
      <c r="F22" s="2"/>
      <c r="G22" s="11"/>
      <c r="H22" s="11"/>
      <c r="I22" s="14"/>
      <c r="J22" s="11"/>
    </row>
    <row r="23" spans="1:10" s="6" customFormat="1" ht="18" x14ac:dyDescent="0.25">
      <c r="A23" s="22" t="s">
        <v>55</v>
      </c>
      <c r="B23" s="2"/>
      <c r="C23" s="2"/>
      <c r="D23" s="2"/>
      <c r="E23" s="2"/>
      <c r="F23" s="2"/>
      <c r="G23" s="11"/>
      <c r="H23" s="11"/>
      <c r="I23" s="14"/>
      <c r="J23" s="11"/>
    </row>
    <row r="24" spans="1:10" ht="15.75" x14ac:dyDescent="0.25">
      <c r="A24" s="13"/>
      <c r="B24" s="13"/>
      <c r="C24" s="13"/>
      <c r="D24" s="13"/>
      <c r="E24" s="13"/>
      <c r="F24" s="13"/>
      <c r="G24" s="11"/>
      <c r="H24" s="11"/>
      <c r="I24" s="2"/>
      <c r="J24" s="2"/>
    </row>
    <row r="25" spans="1:10" ht="31.15" customHeight="1" x14ac:dyDescent="0.25">
      <c r="A25" s="61" t="s">
        <v>29</v>
      </c>
      <c r="B25" s="61"/>
      <c r="C25" s="61"/>
      <c r="D25" s="39" t="s">
        <v>93</v>
      </c>
      <c r="E25" s="12"/>
      <c r="F25" s="12"/>
      <c r="G25" s="11"/>
      <c r="H25" s="11"/>
      <c r="I25" s="2"/>
      <c r="J25" s="2"/>
    </row>
    <row r="26" spans="1:10" ht="94.5" x14ac:dyDescent="0.25">
      <c r="A26" s="5"/>
      <c r="B26" s="26" t="s">
        <v>36</v>
      </c>
      <c r="C26" s="26" t="s">
        <v>37</v>
      </c>
      <c r="D26" s="26" t="s">
        <v>38</v>
      </c>
      <c r="E26" s="15"/>
      <c r="F26" s="15"/>
      <c r="G26" s="11"/>
      <c r="H26" s="11"/>
      <c r="I26" s="2"/>
      <c r="J26" s="2"/>
    </row>
    <row r="27" spans="1:10" ht="31.5" x14ac:dyDescent="0.25">
      <c r="A27" s="26" t="s">
        <v>3</v>
      </c>
      <c r="B27" s="4">
        <f>G20</f>
        <v>180.05341294392588</v>
      </c>
      <c r="C27" s="62">
        <v>0.01</v>
      </c>
      <c r="D27" s="4">
        <f>B27*C27</f>
        <v>1.8005341294392587</v>
      </c>
      <c r="E27" s="14"/>
      <c r="F27" s="14"/>
      <c r="G27" s="11"/>
      <c r="H27" s="11"/>
      <c r="I27" s="2"/>
      <c r="J27" s="2"/>
    </row>
    <row r="28" spans="1:10" ht="31.5" x14ac:dyDescent="0.25">
      <c r="A28" s="26" t="s">
        <v>54</v>
      </c>
      <c r="B28" s="4">
        <f>G21</f>
        <v>179.6101782682895</v>
      </c>
      <c r="C28" s="62"/>
      <c r="D28" s="4">
        <f>B28*C27</f>
        <v>1.7961017826828951</v>
      </c>
      <c r="E28" s="14"/>
      <c r="F28" s="14"/>
      <c r="G28" s="11"/>
      <c r="H28" s="11"/>
      <c r="I28" s="2"/>
      <c r="J28" s="2"/>
    </row>
    <row r="29" spans="1:10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</sheetData>
  <mergeCells count="14">
    <mergeCell ref="C27:C28"/>
    <mergeCell ref="E19:E21"/>
    <mergeCell ref="F18:G18"/>
    <mergeCell ref="A1:L2"/>
    <mergeCell ref="B6:D6"/>
    <mergeCell ref="I18:J18"/>
    <mergeCell ref="H7:H9"/>
    <mergeCell ref="A5:J5"/>
    <mergeCell ref="E6:G6"/>
    <mergeCell ref="I6:J6"/>
    <mergeCell ref="C14:C15"/>
    <mergeCell ref="A12:C12"/>
    <mergeCell ref="A17:F17"/>
    <mergeCell ref="A25:C2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topLeftCell="A7" zoomScale="60" zoomScaleNormal="100" workbookViewId="0">
      <selection activeCell="F28" sqref="F28"/>
    </sheetView>
  </sheetViews>
  <sheetFormatPr defaultRowHeight="15" x14ac:dyDescent="0.25"/>
  <cols>
    <col min="1" max="1" width="18.28515625" customWidth="1"/>
    <col min="2" max="2" width="12.140625" customWidth="1"/>
    <col min="3" max="3" width="14.7109375" customWidth="1"/>
    <col min="4" max="4" width="14.28515625" customWidth="1"/>
    <col min="5" max="5" width="12.42578125" customWidth="1"/>
    <col min="6" max="6" width="13" customWidth="1"/>
  </cols>
  <sheetData>
    <row r="1" spans="1:8" x14ac:dyDescent="0.25">
      <c r="A1" s="49" t="s">
        <v>43</v>
      </c>
      <c r="B1" s="49"/>
      <c r="C1" s="49"/>
      <c r="D1" s="49"/>
      <c r="E1" s="49"/>
      <c r="F1" s="49"/>
      <c r="G1" s="49"/>
    </row>
    <row r="2" spans="1:8" x14ac:dyDescent="0.25">
      <c r="A2" s="49"/>
      <c r="B2" s="49"/>
      <c r="C2" s="49"/>
      <c r="D2" s="49"/>
      <c r="E2" s="49"/>
      <c r="F2" s="49"/>
      <c r="G2" s="49"/>
    </row>
    <row r="3" spans="1:8" s="6" customFormat="1" ht="18.75" x14ac:dyDescent="0.3">
      <c r="A3" s="25"/>
      <c r="B3" s="25"/>
      <c r="C3" s="25"/>
      <c r="D3" s="25"/>
      <c r="E3" s="25"/>
      <c r="F3" s="25"/>
      <c r="G3" s="25"/>
    </row>
    <row r="4" spans="1:8" ht="18.75" x14ac:dyDescent="0.3">
      <c r="A4" s="32"/>
      <c r="B4" s="37" t="s">
        <v>94</v>
      </c>
      <c r="C4" s="32"/>
      <c r="D4" s="32"/>
      <c r="E4" s="32"/>
      <c r="F4" s="32"/>
      <c r="G4" s="23" t="s">
        <v>63</v>
      </c>
    </row>
    <row r="5" spans="1:8" ht="60" customHeight="1" x14ac:dyDescent="0.25">
      <c r="A5" s="52" t="s">
        <v>49</v>
      </c>
      <c r="B5" s="52"/>
      <c r="C5" s="13"/>
      <c r="D5" s="13"/>
      <c r="E5" s="2"/>
      <c r="F5" s="2"/>
      <c r="G5" s="6"/>
    </row>
    <row r="6" spans="1:8" ht="15.75" x14ac:dyDescent="0.25">
      <c r="A6" s="5"/>
      <c r="B6" s="3" t="s">
        <v>42</v>
      </c>
      <c r="C6" s="12"/>
      <c r="D6" s="12"/>
      <c r="E6" s="2"/>
      <c r="F6" s="2"/>
      <c r="G6" s="6"/>
    </row>
    <row r="7" spans="1:8" ht="15.75" x14ac:dyDescent="0.25">
      <c r="A7" s="51" t="s">
        <v>15</v>
      </c>
      <c r="B7" s="51"/>
      <c r="C7" s="15"/>
      <c r="D7" s="15"/>
      <c r="E7" s="2"/>
      <c r="F7" s="2"/>
      <c r="G7" s="6"/>
    </row>
    <row r="8" spans="1:8" ht="31.5" x14ac:dyDescent="0.25">
      <c r="A8" s="26" t="s">
        <v>13</v>
      </c>
      <c r="B8" s="4">
        <v>26657628</v>
      </c>
      <c r="C8" s="14"/>
      <c r="D8" s="20"/>
      <c r="E8" s="2"/>
      <c r="F8" s="2"/>
      <c r="G8" s="6"/>
    </row>
    <row r="9" spans="1:8" ht="31.5" x14ac:dyDescent="0.25">
      <c r="A9" s="26" t="s">
        <v>44</v>
      </c>
      <c r="B9" s="4">
        <v>19944004</v>
      </c>
      <c r="C9" s="14"/>
      <c r="D9" s="14"/>
      <c r="E9" s="2"/>
      <c r="F9" s="2"/>
      <c r="G9" s="6"/>
    </row>
    <row r="10" spans="1:8" ht="16.149999999999999" customHeight="1" x14ac:dyDescent="0.25">
      <c r="A10" s="53" t="s">
        <v>95</v>
      </c>
      <c r="B10" s="53"/>
      <c r="C10" s="53"/>
      <c r="D10" s="53"/>
      <c r="E10" s="53"/>
      <c r="F10" s="53"/>
      <c r="G10" s="6"/>
    </row>
    <row r="11" spans="1:8" s="6" customFormat="1" x14ac:dyDescent="0.25">
      <c r="A11" s="53"/>
      <c r="B11" s="53"/>
      <c r="C11" s="53"/>
      <c r="D11" s="53"/>
      <c r="E11" s="53"/>
      <c r="F11" s="53"/>
    </row>
    <row r="12" spans="1:8" s="6" customFormat="1" ht="15.75" x14ac:dyDescent="0.25">
      <c r="A12" s="24"/>
      <c r="B12" s="24"/>
      <c r="C12" s="24"/>
      <c r="D12" s="24"/>
      <c r="E12" s="24"/>
      <c r="F12" s="24"/>
    </row>
    <row r="13" spans="1:8" s="6" customFormat="1" ht="15.75" x14ac:dyDescent="0.25">
      <c r="A13" s="24"/>
      <c r="B13" s="24"/>
      <c r="C13" s="24"/>
      <c r="D13" s="24"/>
      <c r="E13" s="24"/>
      <c r="F13" s="37" t="s">
        <v>87</v>
      </c>
      <c r="G13" s="2"/>
      <c r="H13" s="2"/>
    </row>
    <row r="14" spans="1:8" ht="37.15" customHeight="1" x14ac:dyDescent="0.25">
      <c r="A14" s="2"/>
      <c r="B14" s="2"/>
      <c r="C14" s="2"/>
      <c r="D14" s="2"/>
      <c r="E14" s="52" t="s">
        <v>22</v>
      </c>
      <c r="F14" s="52"/>
      <c r="G14" s="2"/>
      <c r="H14" s="2"/>
    </row>
    <row r="15" spans="1:8" ht="49.5" x14ac:dyDescent="0.25">
      <c r="A15" s="27" t="s">
        <v>40</v>
      </c>
      <c r="B15" s="27" t="s">
        <v>1</v>
      </c>
      <c r="C15" s="27" t="s">
        <v>45</v>
      </c>
      <c r="D15" s="27" t="s">
        <v>23</v>
      </c>
      <c r="E15" s="27" t="s">
        <v>16</v>
      </c>
      <c r="F15" s="7" t="s">
        <v>17</v>
      </c>
      <c r="G15" s="2"/>
      <c r="H15" s="2"/>
    </row>
    <row r="16" spans="1:8" ht="15.75" x14ac:dyDescent="0.25">
      <c r="A16" s="4">
        <v>112168664</v>
      </c>
      <c r="B16" s="4">
        <f>B8</f>
        <v>26657628</v>
      </c>
      <c r="C16" s="4">
        <f>B9</f>
        <v>19944004</v>
      </c>
      <c r="D16" s="8">
        <v>0.5</v>
      </c>
      <c r="E16" s="4">
        <f>B16*D16</f>
        <v>13328814</v>
      </c>
      <c r="F16" s="4">
        <f>C16*D16</f>
        <v>9972002</v>
      </c>
      <c r="G16" s="2"/>
      <c r="H16" s="2"/>
    </row>
    <row r="17" spans="1:8" ht="15.75" x14ac:dyDescent="0.25">
      <c r="A17" s="53" t="s">
        <v>82</v>
      </c>
      <c r="B17" s="53"/>
      <c r="C17" s="53"/>
      <c r="D17" s="53"/>
      <c r="E17" s="53"/>
      <c r="F17" s="53"/>
      <c r="G17" s="53"/>
      <c r="H17" s="2"/>
    </row>
    <row r="18" spans="1:8" s="6" customFormat="1" ht="15.75" x14ac:dyDescent="0.25">
      <c r="A18" s="24"/>
      <c r="B18" s="24"/>
      <c r="C18" s="24"/>
      <c r="D18" s="24"/>
      <c r="E18" s="24"/>
      <c r="F18" s="24"/>
      <c r="G18" s="24"/>
      <c r="H18" s="2"/>
    </row>
    <row r="19" spans="1:8" ht="15.75" x14ac:dyDescent="0.25">
      <c r="A19" s="2"/>
      <c r="B19" s="2"/>
      <c r="C19" s="2"/>
      <c r="D19" s="2"/>
      <c r="E19" s="2"/>
      <c r="F19" s="2"/>
      <c r="G19" s="36" t="s">
        <v>88</v>
      </c>
      <c r="H19" s="2"/>
    </row>
    <row r="20" spans="1:8" ht="15.75" x14ac:dyDescent="0.25">
      <c r="A20" s="57" t="s">
        <v>41</v>
      </c>
      <c r="B20" s="58"/>
      <c r="C20" s="58"/>
      <c r="D20" s="58"/>
      <c r="E20" s="58"/>
      <c r="F20" s="58"/>
      <c r="G20" s="59"/>
      <c r="H20" s="2"/>
    </row>
    <row r="21" spans="1:8" ht="15.75" x14ac:dyDescent="0.25">
      <c r="A21" s="51" t="s">
        <v>10</v>
      </c>
      <c r="B21" s="51"/>
      <c r="C21" s="5"/>
      <c r="D21" s="50" t="s">
        <v>6</v>
      </c>
      <c r="E21" s="50"/>
      <c r="F21" s="52" t="s">
        <v>7</v>
      </c>
      <c r="G21" s="52"/>
      <c r="H21" s="2"/>
    </row>
    <row r="22" spans="1:8" ht="78.75" x14ac:dyDescent="0.25">
      <c r="A22" s="26" t="s">
        <v>3</v>
      </c>
      <c r="B22" s="26" t="s">
        <v>4</v>
      </c>
      <c r="C22" s="26" t="s">
        <v>5</v>
      </c>
      <c r="D22" s="26" t="s">
        <v>8</v>
      </c>
      <c r="E22" s="26" t="s">
        <v>9</v>
      </c>
      <c r="F22" s="26" t="s">
        <v>11</v>
      </c>
      <c r="G22" s="26" t="s">
        <v>0</v>
      </c>
      <c r="H22" s="2"/>
    </row>
    <row r="23" spans="1:8" ht="15.75" x14ac:dyDescent="0.25">
      <c r="A23" s="4">
        <f>E16</f>
        <v>13328814</v>
      </c>
      <c r="B23" s="4">
        <f>F16</f>
        <v>9972002</v>
      </c>
      <c r="C23" s="9">
        <v>0.01</v>
      </c>
      <c r="D23" s="4">
        <f>A23*C23</f>
        <v>133288.14000000001</v>
      </c>
      <c r="E23" s="4">
        <f>B23*C23</f>
        <v>99720.02</v>
      </c>
      <c r="F23" s="4">
        <f>D23+E23</f>
        <v>233008.16000000003</v>
      </c>
      <c r="G23" s="10">
        <f>F23/1000000</f>
        <v>0.23300816000000002</v>
      </c>
      <c r="H23" s="2"/>
    </row>
    <row r="24" spans="1:8" ht="15.75" x14ac:dyDescent="0.25">
      <c r="A24" s="2"/>
      <c r="B24" s="2"/>
      <c r="C24" s="2"/>
      <c r="D24" s="2"/>
      <c r="E24" s="2"/>
      <c r="F24" s="2"/>
      <c r="G24" s="2"/>
      <c r="H24" s="2"/>
    </row>
    <row r="25" spans="1:8" ht="52.15" customHeight="1" x14ac:dyDescent="0.25">
      <c r="A25" s="61" t="s">
        <v>107</v>
      </c>
      <c r="B25" s="61"/>
      <c r="C25" s="36" t="s">
        <v>89</v>
      </c>
      <c r="D25" s="2"/>
      <c r="E25" s="2"/>
      <c r="F25" s="2"/>
      <c r="G25" s="2"/>
      <c r="H25" s="2"/>
    </row>
    <row r="26" spans="1:8" ht="15.75" x14ac:dyDescent="0.25">
      <c r="A26" s="57" t="s">
        <v>18</v>
      </c>
      <c r="B26" s="59"/>
      <c r="C26" s="5" t="s">
        <v>0</v>
      </c>
      <c r="D26" s="13"/>
      <c r="E26" s="13"/>
      <c r="F26" s="2"/>
      <c r="G26" s="2"/>
      <c r="H26" s="2"/>
    </row>
    <row r="27" spans="1:8" ht="18" x14ac:dyDescent="0.25">
      <c r="A27" s="60" t="s">
        <v>96</v>
      </c>
      <c r="B27" s="60"/>
      <c r="C27" s="10">
        <f>G23*0.42</f>
        <v>9.7863427200000006E-2</v>
      </c>
      <c r="D27" s="33"/>
      <c r="E27" s="34"/>
      <c r="F27" s="2"/>
      <c r="G27" s="2"/>
      <c r="H27" s="2"/>
    </row>
    <row r="28" spans="1:8" ht="18" x14ac:dyDescent="0.25">
      <c r="A28" s="60" t="s">
        <v>97</v>
      </c>
      <c r="B28" s="60"/>
      <c r="C28" s="10">
        <f>G23</f>
        <v>0.23300816000000002</v>
      </c>
      <c r="D28" s="34"/>
      <c r="E28" s="34"/>
      <c r="F28" s="2"/>
      <c r="G28" s="2"/>
      <c r="H28" s="2"/>
    </row>
    <row r="29" spans="1:8" ht="18" x14ac:dyDescent="0.25">
      <c r="A29" s="60" t="s">
        <v>98</v>
      </c>
      <c r="B29" s="60"/>
      <c r="C29" s="10">
        <f>G23*0.9</f>
        <v>0.20970734400000002</v>
      </c>
      <c r="D29" s="34"/>
      <c r="E29" s="34"/>
      <c r="F29" s="2"/>
      <c r="G29" s="2"/>
      <c r="H29" s="2"/>
    </row>
    <row r="30" spans="1:8" ht="15.75" x14ac:dyDescent="0.25">
      <c r="A30" s="60">
        <v>3</v>
      </c>
      <c r="B30" s="60"/>
      <c r="C30" s="10">
        <f>G23*0.8</f>
        <v>0.18640652800000002</v>
      </c>
      <c r="D30" s="34"/>
      <c r="E30" s="34"/>
      <c r="F30" s="2"/>
      <c r="G30" s="2"/>
      <c r="H30" s="2"/>
    </row>
    <row r="31" spans="1:8" ht="15.75" x14ac:dyDescent="0.25">
      <c r="A31" s="60">
        <v>4</v>
      </c>
      <c r="B31" s="60"/>
      <c r="C31" s="10">
        <f>G23*0.7</f>
        <v>0.16310571200000001</v>
      </c>
      <c r="D31" s="34"/>
      <c r="E31" s="34"/>
      <c r="F31" s="2"/>
      <c r="G31" s="2"/>
      <c r="H31" s="2"/>
    </row>
    <row r="32" spans="1:8" ht="15.75" x14ac:dyDescent="0.25">
      <c r="A32" s="60">
        <v>5</v>
      </c>
      <c r="B32" s="60"/>
      <c r="C32" s="10">
        <f>G23*0.6</f>
        <v>0.13980489600000001</v>
      </c>
      <c r="D32" s="34"/>
      <c r="E32" s="34"/>
      <c r="F32" s="2"/>
      <c r="G32" s="2"/>
      <c r="H32" s="2"/>
    </row>
    <row r="33" spans="1:8" ht="15.75" x14ac:dyDescent="0.25">
      <c r="A33" s="60">
        <v>6</v>
      </c>
      <c r="B33" s="60"/>
      <c r="C33" s="10">
        <f>G23*0.5</f>
        <v>0.11650408000000001</v>
      </c>
      <c r="D33" s="34"/>
      <c r="E33" s="34"/>
      <c r="F33" s="2"/>
      <c r="G33" s="2"/>
      <c r="H33" s="2"/>
    </row>
    <row r="34" spans="1:8" ht="15.75" x14ac:dyDescent="0.25">
      <c r="A34" s="60">
        <v>7</v>
      </c>
      <c r="B34" s="60"/>
      <c r="C34" s="10">
        <f>G23*0.5</f>
        <v>0.11650408000000001</v>
      </c>
      <c r="D34" s="34"/>
      <c r="E34" s="34"/>
      <c r="F34" s="2"/>
      <c r="G34" s="2"/>
      <c r="H34" s="2"/>
    </row>
    <row r="35" spans="1:8" ht="15.75" x14ac:dyDescent="0.25">
      <c r="A35" s="60">
        <v>8</v>
      </c>
      <c r="B35" s="60"/>
      <c r="C35" s="10">
        <f>G23*0.5</f>
        <v>0.11650408000000001</v>
      </c>
      <c r="D35" s="34"/>
      <c r="E35" s="34"/>
      <c r="F35" s="2"/>
      <c r="G35" s="2"/>
      <c r="H35" s="2"/>
    </row>
    <row r="36" spans="1:8" ht="15.75" x14ac:dyDescent="0.25">
      <c r="A36" s="60">
        <v>9</v>
      </c>
      <c r="B36" s="60"/>
      <c r="C36" s="10">
        <f>G23*0.5</f>
        <v>0.11650408000000001</v>
      </c>
      <c r="D36" s="34"/>
      <c r="E36" s="34"/>
      <c r="F36" s="2"/>
      <c r="G36" s="2"/>
      <c r="H36" s="2"/>
    </row>
    <row r="37" spans="1:8" ht="15.75" x14ac:dyDescent="0.25">
      <c r="A37" s="60">
        <v>10</v>
      </c>
      <c r="B37" s="60"/>
      <c r="C37" s="10">
        <f>G23*0.5</f>
        <v>0.11650408000000001</v>
      </c>
      <c r="D37" s="34"/>
      <c r="E37" s="34"/>
      <c r="F37" s="2"/>
      <c r="G37" s="2"/>
      <c r="H37" s="2"/>
    </row>
    <row r="38" spans="1:8" ht="15.75" x14ac:dyDescent="0.25">
      <c r="A38" s="60" t="s">
        <v>19</v>
      </c>
      <c r="B38" s="60"/>
      <c r="C38" s="10">
        <f>SUM(C27:C37)</f>
        <v>1.6124164671999996</v>
      </c>
      <c r="D38" s="34"/>
      <c r="E38" s="34"/>
      <c r="F38" s="2"/>
      <c r="G38" s="2"/>
      <c r="H38" s="2"/>
    </row>
    <row r="39" spans="1:8" ht="15.75" x14ac:dyDescent="0.25">
      <c r="A39" s="53" t="s">
        <v>50</v>
      </c>
      <c r="B39" s="53"/>
      <c r="C39" s="53"/>
      <c r="D39" s="53"/>
      <c r="E39" s="53"/>
      <c r="F39" s="53"/>
      <c r="G39" s="53"/>
      <c r="H39" s="2"/>
    </row>
    <row r="40" spans="1:8" ht="54.6" customHeight="1" x14ac:dyDescent="0.25">
      <c r="A40" s="53"/>
      <c r="B40" s="53"/>
      <c r="C40" s="53"/>
      <c r="D40" s="53"/>
      <c r="E40" s="53"/>
      <c r="F40" s="53"/>
      <c r="G40" s="53"/>
      <c r="H40" s="2"/>
    </row>
    <row r="41" spans="1:8" ht="15.75" x14ac:dyDescent="0.25">
      <c r="A41" s="53" t="s">
        <v>51</v>
      </c>
      <c r="B41" s="53"/>
      <c r="C41" s="53"/>
      <c r="D41" s="53"/>
      <c r="E41" s="53"/>
      <c r="F41" s="53"/>
      <c r="G41" s="53"/>
      <c r="H41" s="2"/>
    </row>
    <row r="42" spans="1:8" ht="15.75" x14ac:dyDescent="0.25">
      <c r="A42" s="53"/>
      <c r="B42" s="53"/>
      <c r="C42" s="53"/>
      <c r="D42" s="53"/>
      <c r="E42" s="53"/>
      <c r="F42" s="53"/>
      <c r="G42" s="53"/>
      <c r="H42" s="2"/>
    </row>
    <row r="43" spans="1:8" ht="15.75" x14ac:dyDescent="0.25">
      <c r="A43" s="48" t="s">
        <v>52</v>
      </c>
      <c r="B43" s="48"/>
      <c r="C43" s="48"/>
      <c r="D43" s="48"/>
      <c r="E43" s="48"/>
      <c r="F43" s="48"/>
      <c r="G43" s="48"/>
      <c r="H43" s="2"/>
    </row>
    <row r="44" spans="1:8" ht="15.75" x14ac:dyDescent="0.25">
      <c r="A44" s="48"/>
      <c r="B44" s="48"/>
      <c r="C44" s="48"/>
      <c r="D44" s="48"/>
      <c r="E44" s="48"/>
      <c r="F44" s="48"/>
      <c r="G44" s="48"/>
      <c r="H44" s="2"/>
    </row>
    <row r="45" spans="1:8" ht="15.75" x14ac:dyDescent="0.25">
      <c r="A45" s="48"/>
      <c r="B45" s="48"/>
      <c r="C45" s="48"/>
      <c r="D45" s="48"/>
      <c r="E45" s="48"/>
      <c r="F45" s="48"/>
      <c r="G45" s="48"/>
      <c r="H45" s="2"/>
    </row>
    <row r="46" spans="1:8" ht="15.75" x14ac:dyDescent="0.25">
      <c r="A46" s="48"/>
      <c r="B46" s="48"/>
      <c r="C46" s="48"/>
      <c r="D46" s="48"/>
      <c r="E46" s="48"/>
      <c r="F46" s="48"/>
      <c r="G46" s="48"/>
      <c r="H46" s="2"/>
    </row>
    <row r="47" spans="1:8" ht="43.9" customHeight="1" x14ac:dyDescent="0.25">
      <c r="A47" s="48"/>
      <c r="B47" s="48"/>
      <c r="C47" s="48"/>
      <c r="D47" s="48"/>
      <c r="E47" s="48"/>
      <c r="F47" s="48"/>
      <c r="G47" s="48"/>
      <c r="H47" s="2"/>
    </row>
    <row r="48" spans="1:8" ht="15.75" x14ac:dyDescent="0.25">
      <c r="A48" s="2"/>
      <c r="B48" s="2"/>
      <c r="C48" s="2"/>
      <c r="D48" s="2"/>
      <c r="E48" s="2"/>
      <c r="F48" s="2"/>
      <c r="G48" s="2"/>
      <c r="H48" s="2"/>
    </row>
    <row r="49" spans="1:8" ht="15.75" x14ac:dyDescent="0.25">
      <c r="A49" s="2"/>
      <c r="B49" s="2"/>
      <c r="C49" s="2"/>
      <c r="D49" s="2"/>
      <c r="E49" s="2"/>
      <c r="F49" s="2"/>
      <c r="G49" s="2"/>
      <c r="H49" s="2"/>
    </row>
  </sheetData>
  <mergeCells count="27">
    <mergeCell ref="A43:G47"/>
    <mergeCell ref="A7:B7"/>
    <mergeCell ref="A5:B5"/>
    <mergeCell ref="A10:F11"/>
    <mergeCell ref="A35:B35"/>
    <mergeCell ref="A36:B36"/>
    <mergeCell ref="A37:B37"/>
    <mergeCell ref="A38:B38"/>
    <mergeCell ref="A39:G40"/>
    <mergeCell ref="A41:G42"/>
    <mergeCell ref="A29:B29"/>
    <mergeCell ref="A30:B30"/>
    <mergeCell ref="A31:B31"/>
    <mergeCell ref="A32:B32"/>
    <mergeCell ref="A33:B33"/>
    <mergeCell ref="A34:B34"/>
    <mergeCell ref="A28:B28"/>
    <mergeCell ref="A1:G2"/>
    <mergeCell ref="E14:F14"/>
    <mergeCell ref="A17:G17"/>
    <mergeCell ref="A20:G20"/>
    <mergeCell ref="A21:B21"/>
    <mergeCell ref="D21:E21"/>
    <mergeCell ref="F21:G21"/>
    <mergeCell ref="A26:B26"/>
    <mergeCell ref="A27:B27"/>
    <mergeCell ref="A25:B25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60" zoomScaleNormal="100" workbookViewId="0">
      <selection activeCell="D15" sqref="D15"/>
    </sheetView>
  </sheetViews>
  <sheetFormatPr defaultRowHeight="15" x14ac:dyDescent="0.25"/>
  <cols>
    <col min="1" max="1" width="18.28515625" customWidth="1"/>
    <col min="2" max="2" width="17.5703125" style="6" customWidth="1"/>
    <col min="3" max="3" width="16.42578125" style="6" customWidth="1"/>
    <col min="4" max="4" width="13.28515625" customWidth="1"/>
    <col min="5" max="5" width="12.7109375" customWidth="1"/>
    <col min="6" max="6" width="12.140625" customWidth="1"/>
    <col min="7" max="7" width="17.140625" customWidth="1"/>
    <col min="8" max="8" width="17.42578125" customWidth="1"/>
  </cols>
  <sheetData>
    <row r="1" spans="1:9" x14ac:dyDescent="0.25">
      <c r="A1" s="49" t="s">
        <v>56</v>
      </c>
      <c r="B1" s="49"/>
      <c r="C1" s="49"/>
      <c r="D1" s="49"/>
      <c r="E1" s="49"/>
      <c r="F1" s="49"/>
      <c r="G1" s="49"/>
      <c r="H1" s="49"/>
      <c r="I1" s="49"/>
    </row>
    <row r="2" spans="1:9" ht="55.9" customHeight="1" x14ac:dyDescent="0.25">
      <c r="A2" s="49"/>
      <c r="B2" s="49"/>
      <c r="C2" s="49"/>
      <c r="D2" s="49"/>
      <c r="E2" s="49"/>
      <c r="F2" s="49"/>
      <c r="G2" s="49"/>
      <c r="H2" s="49"/>
      <c r="I2" s="49"/>
    </row>
    <row r="3" spans="1:9" ht="18.75" x14ac:dyDescent="0.3">
      <c r="A3" s="43"/>
      <c r="B3" s="43"/>
      <c r="C3" s="43"/>
      <c r="D3" s="43"/>
      <c r="E3" s="43"/>
      <c r="F3" s="43"/>
      <c r="G3" s="44"/>
      <c r="H3" s="16"/>
      <c r="I3" s="23" t="s">
        <v>65</v>
      </c>
    </row>
    <row r="4" spans="1:9" ht="15.75" x14ac:dyDescent="0.25">
      <c r="A4" s="68" t="s">
        <v>70</v>
      </c>
      <c r="B4" s="68"/>
      <c r="C4" s="68"/>
      <c r="D4" s="68"/>
      <c r="E4" s="68"/>
      <c r="F4" s="68"/>
      <c r="G4" s="39" t="s">
        <v>99</v>
      </c>
      <c r="H4" s="6"/>
      <c r="I4" s="6"/>
    </row>
    <row r="5" spans="1:9" ht="31.5" x14ac:dyDescent="0.25">
      <c r="A5" s="5"/>
      <c r="B5" s="3">
        <v>2015</v>
      </c>
      <c r="C5" s="3">
        <v>2016</v>
      </c>
      <c r="D5" s="3">
        <v>2017</v>
      </c>
      <c r="E5" s="3">
        <v>2018</v>
      </c>
      <c r="F5" s="3">
        <v>2019</v>
      </c>
      <c r="G5" s="3" t="s">
        <v>59</v>
      </c>
      <c r="H5" s="47" t="s">
        <v>69</v>
      </c>
      <c r="I5" s="6"/>
    </row>
    <row r="6" spans="1:9" ht="15.75" x14ac:dyDescent="0.25">
      <c r="A6" s="51" t="s">
        <v>15</v>
      </c>
      <c r="B6" s="51"/>
      <c r="C6" s="51"/>
      <c r="D6" s="51"/>
      <c r="E6" s="51"/>
      <c r="F6" s="51"/>
      <c r="G6" s="51"/>
      <c r="H6" s="51"/>
      <c r="I6" s="6"/>
    </row>
    <row r="7" spans="1:9" ht="15.75" x14ac:dyDescent="0.25">
      <c r="A7" s="26" t="s">
        <v>57</v>
      </c>
      <c r="B7" s="41">
        <v>284193</v>
      </c>
      <c r="C7" s="41">
        <v>300213</v>
      </c>
      <c r="D7" s="41">
        <v>347807</v>
      </c>
      <c r="E7" s="41">
        <v>508370</v>
      </c>
      <c r="F7" s="41">
        <v>3295976.5</v>
      </c>
      <c r="G7" s="4">
        <f>B7+C7+D7+E7+F7</f>
        <v>4736559.5</v>
      </c>
      <c r="H7" s="4">
        <f>(B7+C7+D7+E7+F7)/5</f>
        <v>947311.9</v>
      </c>
      <c r="I7" s="6"/>
    </row>
    <row r="8" spans="1:9" ht="31.5" x14ac:dyDescent="0.25">
      <c r="A8" s="26" t="s">
        <v>58</v>
      </c>
      <c r="B8" s="41">
        <v>283581</v>
      </c>
      <c r="C8" s="41">
        <v>3508932</v>
      </c>
      <c r="D8" s="41">
        <v>48760</v>
      </c>
      <c r="E8" s="41">
        <v>67139</v>
      </c>
      <c r="F8" s="41">
        <v>2236451.98</v>
      </c>
      <c r="G8" s="4">
        <f>B8+C8+D8+E8+F8</f>
        <v>6144863.9800000004</v>
      </c>
      <c r="H8" s="4">
        <f>(B8+C8+D8+E8+F8)/5</f>
        <v>1228972.7960000001</v>
      </c>
      <c r="I8" s="6"/>
    </row>
    <row r="9" spans="1:9" ht="31.5" x14ac:dyDescent="0.25">
      <c r="A9" s="42" t="s">
        <v>61</v>
      </c>
      <c r="B9" s="57"/>
      <c r="C9" s="58"/>
      <c r="D9" s="58"/>
      <c r="E9" s="59"/>
      <c r="F9" s="47" t="s">
        <v>60</v>
      </c>
      <c r="G9" s="4">
        <f>G7+G8</f>
        <v>10881423.48</v>
      </c>
      <c r="H9" s="4">
        <f>H7+H8</f>
        <v>2176284.696</v>
      </c>
      <c r="I9" s="6"/>
    </row>
    <row r="10" spans="1:9" ht="15.75" x14ac:dyDescent="0.25">
      <c r="A10" s="2"/>
      <c r="B10" s="2"/>
      <c r="C10" s="2"/>
      <c r="D10" s="2"/>
      <c r="E10" s="2"/>
      <c r="F10" s="2"/>
      <c r="G10" s="2"/>
    </row>
    <row r="11" spans="1:9" ht="15.75" x14ac:dyDescent="0.25">
      <c r="A11" s="2"/>
      <c r="B11" s="2"/>
      <c r="C11" s="2"/>
      <c r="D11" s="2"/>
      <c r="E11" s="2"/>
      <c r="F11" s="2"/>
      <c r="G11" s="2"/>
    </row>
    <row r="12" spans="1:9" ht="15.75" x14ac:dyDescent="0.25">
      <c r="A12" s="2"/>
      <c r="B12" s="2"/>
      <c r="C12" s="2"/>
      <c r="D12" s="2"/>
      <c r="E12" s="36" t="s">
        <v>100</v>
      </c>
      <c r="F12" s="2"/>
      <c r="G12" s="2"/>
    </row>
    <row r="13" spans="1:9" ht="78.75" x14ac:dyDescent="0.25">
      <c r="A13" s="28"/>
      <c r="B13" s="28" t="s">
        <v>0</v>
      </c>
      <c r="C13" s="28" t="s">
        <v>68</v>
      </c>
      <c r="D13" s="28" t="s">
        <v>73</v>
      </c>
      <c r="E13" s="45"/>
      <c r="F13" s="2"/>
      <c r="G13" s="2"/>
    </row>
    <row r="14" spans="1:9" ht="81" x14ac:dyDescent="0.25">
      <c r="A14" s="29" t="s">
        <v>71</v>
      </c>
      <c r="B14" s="30">
        <f>G9/1000000</f>
        <v>10.88142348</v>
      </c>
      <c r="C14" s="73">
        <v>0.28399999999999997</v>
      </c>
      <c r="D14" s="30">
        <f>B14*C14</f>
        <v>3.0903242683199998</v>
      </c>
      <c r="E14" s="26" t="s">
        <v>76</v>
      </c>
      <c r="F14" s="2"/>
      <c r="G14" s="2"/>
    </row>
    <row r="15" spans="1:9" ht="78.75" x14ac:dyDescent="0.25">
      <c r="A15" s="28" t="s">
        <v>72</v>
      </c>
      <c r="B15" s="30">
        <f>H9/1000000</f>
        <v>2.1762846960000002</v>
      </c>
      <c r="C15" s="73"/>
      <c r="D15" s="30">
        <f>B15*C14</f>
        <v>0.61806485366399999</v>
      </c>
      <c r="E15" s="28" t="s">
        <v>74</v>
      </c>
      <c r="F15" s="2"/>
      <c r="G15" s="2"/>
    </row>
    <row r="16" spans="1:9" ht="16.149999999999999" customHeight="1" x14ac:dyDescent="0.25">
      <c r="A16" s="72" t="s">
        <v>101</v>
      </c>
      <c r="B16" s="72"/>
      <c r="C16" s="72"/>
      <c r="D16" s="72"/>
      <c r="E16" s="72"/>
      <c r="F16" s="72"/>
      <c r="G16" s="72"/>
    </row>
    <row r="17" spans="1:7" x14ac:dyDescent="0.25">
      <c r="A17" s="72"/>
      <c r="B17" s="72"/>
      <c r="C17" s="72"/>
      <c r="D17" s="72"/>
      <c r="E17" s="72"/>
      <c r="F17" s="72"/>
      <c r="G17" s="72"/>
    </row>
    <row r="18" spans="1:7" x14ac:dyDescent="0.25">
      <c r="A18" s="72"/>
      <c r="B18" s="72"/>
      <c r="C18" s="72"/>
      <c r="D18" s="72"/>
      <c r="E18" s="72"/>
      <c r="F18" s="72"/>
      <c r="G18" s="72"/>
    </row>
    <row r="19" spans="1:7" ht="2.4500000000000002" customHeight="1" x14ac:dyDescent="0.25">
      <c r="A19" s="72"/>
      <c r="B19" s="72"/>
      <c r="C19" s="72"/>
      <c r="D19" s="72"/>
      <c r="E19" s="72"/>
      <c r="F19" s="72"/>
      <c r="G19" s="72"/>
    </row>
    <row r="20" spans="1:7" hidden="1" x14ac:dyDescent="0.25">
      <c r="A20" s="72"/>
      <c r="B20" s="72"/>
      <c r="C20" s="72"/>
      <c r="D20" s="72"/>
      <c r="E20" s="72"/>
      <c r="F20" s="72"/>
      <c r="G20" s="72"/>
    </row>
    <row r="21" spans="1:7" ht="14.45" customHeight="1" x14ac:dyDescent="0.25">
      <c r="A21" s="72" t="s">
        <v>102</v>
      </c>
      <c r="B21" s="72"/>
      <c r="C21" s="72"/>
      <c r="D21" s="72"/>
      <c r="E21" s="72"/>
      <c r="F21" s="72"/>
      <c r="G21" s="72"/>
    </row>
    <row r="22" spans="1:7" ht="14.45" customHeight="1" x14ac:dyDescent="0.25">
      <c r="A22" s="72"/>
      <c r="B22" s="72"/>
      <c r="C22" s="72"/>
      <c r="D22" s="72"/>
      <c r="E22" s="72"/>
      <c r="F22" s="72"/>
      <c r="G22" s="72"/>
    </row>
    <row r="23" spans="1:7" ht="14.45" customHeight="1" x14ac:dyDescent="0.25">
      <c r="A23" s="72"/>
      <c r="B23" s="72"/>
      <c r="C23" s="72"/>
      <c r="D23" s="72"/>
      <c r="E23" s="72"/>
      <c r="F23" s="72"/>
      <c r="G23" s="72"/>
    </row>
    <row r="24" spans="1:7" ht="14.45" customHeight="1" x14ac:dyDescent="0.25">
      <c r="A24" s="72"/>
      <c r="B24" s="72"/>
      <c r="C24" s="72"/>
      <c r="D24" s="72"/>
      <c r="E24" s="72"/>
      <c r="F24" s="72"/>
      <c r="G24" s="72"/>
    </row>
    <row r="25" spans="1:7" ht="14.45" customHeight="1" x14ac:dyDescent="0.25">
      <c r="A25" s="72"/>
      <c r="B25" s="72"/>
      <c r="C25" s="72"/>
      <c r="D25" s="72"/>
      <c r="E25" s="72"/>
      <c r="F25" s="72"/>
      <c r="G25" s="72"/>
    </row>
    <row r="26" spans="1:7" x14ac:dyDescent="0.25">
      <c r="A26" s="72"/>
      <c r="B26" s="72"/>
      <c r="C26" s="72"/>
      <c r="D26" s="72"/>
      <c r="E26" s="72"/>
      <c r="F26" s="72"/>
      <c r="G26" s="72"/>
    </row>
    <row r="27" spans="1:7" x14ac:dyDescent="0.25">
      <c r="A27" s="72"/>
      <c r="B27" s="72"/>
      <c r="C27" s="72"/>
      <c r="D27" s="72"/>
      <c r="E27" s="72"/>
      <c r="F27" s="72"/>
      <c r="G27" s="72"/>
    </row>
    <row r="28" spans="1:7" x14ac:dyDescent="0.25">
      <c r="A28" s="72"/>
      <c r="B28" s="72"/>
      <c r="C28" s="72"/>
      <c r="D28" s="72"/>
      <c r="E28" s="72"/>
      <c r="F28" s="72"/>
      <c r="G28" s="72"/>
    </row>
    <row r="29" spans="1:7" x14ac:dyDescent="0.25">
      <c r="A29" s="72"/>
      <c r="B29" s="72"/>
      <c r="C29" s="72"/>
      <c r="D29" s="72"/>
      <c r="E29" s="72"/>
      <c r="F29" s="72"/>
      <c r="G29" s="72"/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72"/>
      <c r="B31" s="72"/>
      <c r="C31" s="72"/>
      <c r="D31" s="72"/>
      <c r="E31" s="72"/>
      <c r="F31" s="72"/>
      <c r="G31" s="72"/>
    </row>
    <row r="32" spans="1:7" x14ac:dyDescent="0.25">
      <c r="A32" s="72"/>
      <c r="B32" s="72"/>
      <c r="C32" s="72"/>
      <c r="D32" s="72"/>
      <c r="E32" s="72"/>
      <c r="F32" s="72"/>
      <c r="G32" s="72"/>
    </row>
    <row r="33" spans="1:7" x14ac:dyDescent="0.25">
      <c r="A33" s="72"/>
      <c r="B33" s="72"/>
      <c r="C33" s="72"/>
      <c r="D33" s="72"/>
      <c r="E33" s="72"/>
      <c r="F33" s="72"/>
      <c r="G33" s="72"/>
    </row>
    <row r="34" spans="1:7" x14ac:dyDescent="0.25">
      <c r="A34" s="72"/>
      <c r="B34" s="72"/>
      <c r="C34" s="72"/>
      <c r="D34" s="72"/>
      <c r="E34" s="72"/>
      <c r="F34" s="72"/>
      <c r="G34" s="72"/>
    </row>
    <row r="35" spans="1:7" x14ac:dyDescent="0.25">
      <c r="A35" s="72"/>
      <c r="B35" s="72"/>
      <c r="C35" s="72"/>
      <c r="D35" s="72"/>
      <c r="E35" s="72"/>
      <c r="F35" s="72"/>
      <c r="G35" s="72"/>
    </row>
    <row r="36" spans="1:7" x14ac:dyDescent="0.25">
      <c r="A36" s="72"/>
      <c r="B36" s="72"/>
      <c r="C36" s="72"/>
      <c r="D36" s="72"/>
      <c r="E36" s="72"/>
      <c r="F36" s="72"/>
      <c r="G36" s="72"/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72"/>
      <c r="B38" s="72"/>
      <c r="C38" s="72"/>
      <c r="D38" s="72"/>
      <c r="E38" s="72"/>
      <c r="F38" s="72"/>
      <c r="G38" s="72"/>
    </row>
  </sheetData>
  <mergeCells count="7">
    <mergeCell ref="A16:G20"/>
    <mergeCell ref="A21:G38"/>
    <mergeCell ref="A1:I2"/>
    <mergeCell ref="A4:F4"/>
    <mergeCell ref="C14:C15"/>
    <mergeCell ref="A6:H6"/>
    <mergeCell ref="B9:E9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zoomScaleSheetLayoutView="100" workbookViewId="0">
      <selection activeCell="G25" sqref="G25"/>
    </sheetView>
  </sheetViews>
  <sheetFormatPr defaultRowHeight="15" x14ac:dyDescent="0.25"/>
  <cols>
    <col min="2" max="2" width="16.7109375" customWidth="1"/>
    <col min="3" max="3" width="11.28515625" bestFit="1" customWidth="1"/>
  </cols>
  <sheetData>
    <row r="1" spans="1:9" ht="14.45" customHeight="1" x14ac:dyDescent="0.25">
      <c r="A1" s="49" t="s">
        <v>75</v>
      </c>
      <c r="B1" s="49"/>
      <c r="C1" s="49"/>
      <c r="D1" s="49"/>
      <c r="E1" s="49"/>
      <c r="F1" s="49"/>
      <c r="G1" s="49"/>
      <c r="H1" s="49"/>
      <c r="I1" s="49"/>
    </row>
    <row r="2" spans="1:9" ht="34.9" customHeight="1" x14ac:dyDescent="0.25">
      <c r="A2" s="49"/>
      <c r="B2" s="49"/>
      <c r="C2" s="49"/>
      <c r="D2" s="49"/>
      <c r="E2" s="49"/>
      <c r="F2" s="49"/>
      <c r="G2" s="49"/>
      <c r="H2" s="49"/>
      <c r="I2" s="49"/>
    </row>
    <row r="3" spans="1:9" x14ac:dyDescent="0.25">
      <c r="I3" t="s">
        <v>77</v>
      </c>
    </row>
    <row r="4" spans="1:9" s="6" customFormat="1" ht="15.75" x14ac:dyDescent="0.25">
      <c r="A4" s="2"/>
      <c r="B4" s="2"/>
      <c r="C4" s="36" t="s">
        <v>103</v>
      </c>
      <c r="D4" s="2"/>
      <c r="E4" s="2"/>
      <c r="F4" s="2"/>
      <c r="G4" s="2"/>
      <c r="H4" s="2"/>
      <c r="I4" s="2"/>
    </row>
    <row r="5" spans="1:9" ht="15.75" x14ac:dyDescent="0.25">
      <c r="A5" s="2" t="s">
        <v>12</v>
      </c>
      <c r="B5" s="2"/>
      <c r="C5" s="2"/>
      <c r="D5" s="2"/>
      <c r="E5" s="2"/>
      <c r="F5" s="2"/>
      <c r="G5" s="2"/>
      <c r="H5" s="2"/>
      <c r="I5" s="2"/>
    </row>
    <row r="6" spans="1:9" ht="15.75" x14ac:dyDescent="0.25">
      <c r="A6" s="57" t="s">
        <v>18</v>
      </c>
      <c r="B6" s="59"/>
      <c r="C6" s="5" t="s">
        <v>0</v>
      </c>
      <c r="D6" s="2"/>
      <c r="E6" s="2"/>
      <c r="F6" s="2"/>
      <c r="G6" s="2"/>
      <c r="H6" s="2"/>
      <c r="I6" s="2"/>
    </row>
    <row r="7" spans="1:9" ht="15.75" x14ac:dyDescent="0.25">
      <c r="A7" s="60">
        <v>0</v>
      </c>
      <c r="B7" s="60"/>
      <c r="C7" s="10">
        <f>'gotówka bp'!C22</f>
        <v>1.7021343958499997</v>
      </c>
      <c r="D7" s="46"/>
      <c r="E7" s="2"/>
      <c r="F7" s="2"/>
      <c r="G7" s="2"/>
      <c r="H7" s="2"/>
      <c r="I7" s="2"/>
    </row>
    <row r="8" spans="1:9" ht="15.75" x14ac:dyDescent="0.25">
      <c r="A8" s="60">
        <v>1</v>
      </c>
      <c r="B8" s="60"/>
      <c r="C8" s="10">
        <f>'gotówka bp'!C23+'VAT MOSS'!D14</f>
        <v>7.1403242683199997</v>
      </c>
      <c r="D8" s="46"/>
      <c r="E8" s="2"/>
      <c r="F8" s="2"/>
      <c r="G8" s="2"/>
      <c r="H8" s="2"/>
      <c r="I8" s="2"/>
    </row>
    <row r="9" spans="1:9" ht="15.75" x14ac:dyDescent="0.25">
      <c r="A9" s="60">
        <v>2</v>
      </c>
      <c r="B9" s="60"/>
      <c r="C9" s="10">
        <f>'gotówka bp'!C24+'VAT MOSS'!D15</f>
        <v>4.2630648536639999</v>
      </c>
      <c r="D9" s="46"/>
      <c r="E9" s="2"/>
      <c r="F9" s="2"/>
      <c r="G9" s="2"/>
      <c r="H9" s="2"/>
      <c r="I9" s="2"/>
    </row>
    <row r="10" spans="1:9" ht="15.75" x14ac:dyDescent="0.25">
      <c r="A10" s="60">
        <v>3</v>
      </c>
      <c r="B10" s="60"/>
      <c r="C10" s="10">
        <f>'gotówka bp'!C25+'VAT MOSS'!D15</f>
        <v>3.8580648536640001</v>
      </c>
      <c r="D10" s="46"/>
      <c r="E10" s="2"/>
      <c r="F10" s="2"/>
      <c r="G10" s="2"/>
      <c r="H10" s="2"/>
      <c r="I10" s="2"/>
    </row>
    <row r="11" spans="1:9" ht="15.75" x14ac:dyDescent="0.25">
      <c r="A11" s="60">
        <v>4</v>
      </c>
      <c r="B11" s="60"/>
      <c r="C11" s="10">
        <f>'gotówka bp'!C26+'VAT MOSS'!D15</f>
        <v>3.4530648536639994</v>
      </c>
      <c r="D11" s="46"/>
      <c r="E11" s="2"/>
      <c r="F11" s="2"/>
      <c r="G11" s="2"/>
      <c r="H11" s="2"/>
      <c r="I11" s="2"/>
    </row>
    <row r="12" spans="1:9" ht="15.75" x14ac:dyDescent="0.25">
      <c r="A12" s="60">
        <v>5</v>
      </c>
      <c r="B12" s="60"/>
      <c r="C12" s="10">
        <f>'gotówka bp'!C27+'VAT MOSS'!D15</f>
        <v>3.0480648536639996</v>
      </c>
      <c r="D12" s="46"/>
      <c r="E12" s="2"/>
      <c r="F12" s="2"/>
      <c r="G12" s="2"/>
      <c r="H12" s="2"/>
      <c r="I12" s="2"/>
    </row>
    <row r="13" spans="1:9" ht="15.75" x14ac:dyDescent="0.25">
      <c r="A13" s="60">
        <v>6</v>
      </c>
      <c r="B13" s="60"/>
      <c r="C13" s="10">
        <f>4.05*0.5+'VAT MOSS'!D15</f>
        <v>2.6430648536639998</v>
      </c>
      <c r="D13" s="46"/>
      <c r="E13" s="2"/>
      <c r="F13" s="2"/>
      <c r="G13" s="2"/>
      <c r="H13" s="2"/>
      <c r="I13" s="2"/>
    </row>
    <row r="14" spans="1:9" ht="15.75" x14ac:dyDescent="0.25">
      <c r="A14" s="60">
        <v>7</v>
      </c>
      <c r="B14" s="60"/>
      <c r="C14" s="10">
        <f>4.05*0.5+'VAT MOSS'!D15</f>
        <v>2.6430648536639998</v>
      </c>
      <c r="D14" s="46"/>
      <c r="E14" s="2"/>
      <c r="F14" s="2"/>
      <c r="G14" s="2"/>
      <c r="H14" s="2"/>
      <c r="I14" s="2"/>
    </row>
    <row r="15" spans="1:9" ht="15.75" x14ac:dyDescent="0.25">
      <c r="A15" s="60">
        <v>8</v>
      </c>
      <c r="B15" s="60"/>
      <c r="C15" s="10">
        <f>4.05*0.5+'VAT MOSS'!D15</f>
        <v>2.6430648536639998</v>
      </c>
      <c r="D15" s="46"/>
      <c r="E15" s="2"/>
      <c r="F15" s="2"/>
      <c r="G15" s="2"/>
      <c r="H15" s="2"/>
      <c r="I15" s="2"/>
    </row>
    <row r="16" spans="1:9" ht="15.75" x14ac:dyDescent="0.25">
      <c r="A16" s="60">
        <v>9</v>
      </c>
      <c r="B16" s="60"/>
      <c r="C16" s="10">
        <f>4.05*0.5+'VAT MOSS'!D15</f>
        <v>2.6430648536639998</v>
      </c>
      <c r="D16" s="46"/>
      <c r="E16" s="2"/>
      <c r="F16" s="2"/>
      <c r="G16" s="2"/>
      <c r="H16" s="2"/>
      <c r="I16" s="2"/>
    </row>
    <row r="17" spans="1:9" ht="15.75" x14ac:dyDescent="0.25">
      <c r="A17" s="60">
        <v>10</v>
      </c>
      <c r="B17" s="60"/>
      <c r="C17" s="10">
        <f>4.05*0.5+'VAT MOSS'!D15</f>
        <v>2.6430648536639998</v>
      </c>
      <c r="D17" s="46"/>
      <c r="E17" s="2"/>
      <c r="F17" s="2"/>
      <c r="G17" s="2"/>
      <c r="H17" s="2"/>
      <c r="I17" s="2"/>
    </row>
    <row r="18" spans="1:9" ht="15.75" x14ac:dyDescent="0.25">
      <c r="A18" s="60" t="s">
        <v>19</v>
      </c>
      <c r="B18" s="60"/>
      <c r="C18" s="10">
        <v>36.659999999999997</v>
      </c>
      <c r="D18" s="46"/>
      <c r="E18" s="46"/>
      <c r="F18" s="2"/>
      <c r="G18" s="2"/>
      <c r="H18" s="2"/>
      <c r="I18" s="2"/>
    </row>
  </sheetData>
  <mergeCells count="14">
    <mergeCell ref="A1:I2"/>
    <mergeCell ref="A6:B6"/>
    <mergeCell ref="A7:B7"/>
    <mergeCell ref="A8:B8"/>
    <mergeCell ref="A9:B9"/>
    <mergeCell ref="A16:B16"/>
    <mergeCell ref="A17:B17"/>
    <mergeCell ref="A18:B18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60" zoomScaleNormal="100" workbookViewId="0">
      <selection activeCell="E24" sqref="E24"/>
    </sheetView>
  </sheetViews>
  <sheetFormatPr defaultRowHeight="15" x14ac:dyDescent="0.25"/>
  <sheetData>
    <row r="1" spans="1:9" x14ac:dyDescent="0.25">
      <c r="A1" s="49" t="s">
        <v>105</v>
      </c>
      <c r="B1" s="49"/>
      <c r="C1" s="49"/>
      <c r="D1" s="49"/>
      <c r="E1" s="49"/>
      <c r="F1" s="49"/>
      <c r="G1" s="49"/>
      <c r="H1" s="49"/>
      <c r="I1" s="49"/>
    </row>
    <row r="2" spans="1:9" ht="54.75" customHeight="1" x14ac:dyDescent="0.25">
      <c r="A2" s="49"/>
      <c r="B2" s="49"/>
      <c r="C2" s="49"/>
      <c r="D2" s="49"/>
      <c r="E2" s="49"/>
      <c r="F2" s="49"/>
      <c r="G2" s="49"/>
      <c r="H2" s="49"/>
      <c r="I2" s="49"/>
    </row>
    <row r="3" spans="1:9" x14ac:dyDescent="0.25">
      <c r="A3" s="6"/>
      <c r="B3" s="6"/>
      <c r="C3" s="6"/>
      <c r="D3" s="6"/>
      <c r="E3" s="6"/>
      <c r="F3" s="6"/>
      <c r="G3" s="6"/>
      <c r="H3" s="6"/>
      <c r="I3" s="6" t="s">
        <v>104</v>
      </c>
    </row>
    <row r="4" spans="1:9" ht="15.75" x14ac:dyDescent="0.25">
      <c r="A4" s="2"/>
      <c r="B4" s="2"/>
      <c r="C4" s="36" t="s">
        <v>106</v>
      </c>
      <c r="D4" s="2"/>
      <c r="E4" s="2"/>
      <c r="F4" s="2"/>
      <c r="G4" s="2"/>
      <c r="H4" s="2"/>
      <c r="I4" s="2"/>
    </row>
    <row r="5" spans="1:9" ht="15.75" x14ac:dyDescent="0.25">
      <c r="A5" s="2" t="s">
        <v>12</v>
      </c>
      <c r="B5" s="2"/>
      <c r="C5" s="2"/>
      <c r="D5" s="2"/>
      <c r="E5" s="2"/>
      <c r="F5" s="2"/>
      <c r="G5" s="2"/>
      <c r="H5" s="2"/>
      <c r="I5" s="2"/>
    </row>
    <row r="6" spans="1:9" ht="15.75" x14ac:dyDescent="0.25">
      <c r="A6" s="57" t="s">
        <v>18</v>
      </c>
      <c r="B6" s="59"/>
      <c r="C6" s="5" t="s">
        <v>0</v>
      </c>
      <c r="D6" s="2"/>
      <c r="E6" s="2"/>
      <c r="F6" s="2"/>
      <c r="G6" s="2"/>
      <c r="H6" s="2"/>
      <c r="I6" s="2"/>
    </row>
    <row r="7" spans="1:9" ht="15.75" x14ac:dyDescent="0.25">
      <c r="A7" s="60">
        <v>0</v>
      </c>
      <c r="B7" s="60"/>
      <c r="C7" s="10">
        <f>'gotówka jst'!C27+'suma wzrost dochodów bp'!C7</f>
        <v>1.7999978230499998</v>
      </c>
      <c r="D7" s="46"/>
      <c r="E7" s="2"/>
      <c r="F7" s="2"/>
      <c r="G7" s="2"/>
      <c r="H7" s="2"/>
      <c r="I7" s="2"/>
    </row>
    <row r="8" spans="1:9" ht="15.75" x14ac:dyDescent="0.25">
      <c r="A8" s="60">
        <v>1</v>
      </c>
      <c r="B8" s="60"/>
      <c r="C8" s="10">
        <f>'gotówka jst'!C28+'suma wzrost dochodów bp'!C8</f>
        <v>7.3733324283199995</v>
      </c>
      <c r="D8" s="46"/>
      <c r="E8" s="2"/>
      <c r="F8" s="2"/>
      <c r="G8" s="2"/>
      <c r="H8" s="2"/>
      <c r="I8" s="2"/>
    </row>
    <row r="9" spans="1:9" ht="15.75" x14ac:dyDescent="0.25">
      <c r="A9" s="60">
        <v>2</v>
      </c>
      <c r="B9" s="60"/>
      <c r="C9" s="10">
        <f>'gotówka jst'!C29+'suma wzrost dochodów bp'!C9</f>
        <v>4.4727721976639998</v>
      </c>
      <c r="D9" s="46"/>
      <c r="E9" s="2"/>
      <c r="F9" s="2"/>
      <c r="G9" s="2"/>
      <c r="H9" s="2"/>
      <c r="I9" s="2"/>
    </row>
    <row r="10" spans="1:9" ht="15.75" x14ac:dyDescent="0.25">
      <c r="A10" s="60">
        <v>3</v>
      </c>
      <c r="B10" s="60"/>
      <c r="C10" s="10">
        <f>'gotówka jst'!C30+'suma wzrost dochodów bp'!C10</f>
        <v>4.0444713816639997</v>
      </c>
      <c r="D10" s="46"/>
      <c r="E10" s="2"/>
      <c r="F10" s="2"/>
      <c r="G10" s="2"/>
      <c r="H10" s="2"/>
      <c r="I10" s="2"/>
    </row>
    <row r="11" spans="1:9" ht="15.75" x14ac:dyDescent="0.25">
      <c r="A11" s="60">
        <v>4</v>
      </c>
      <c r="B11" s="60"/>
      <c r="C11" s="10">
        <f>'gotówka jst'!C31+'suma wzrost dochodów bp'!C11</f>
        <v>3.6161705656639995</v>
      </c>
      <c r="D11" s="46"/>
      <c r="E11" s="2"/>
      <c r="F11" s="2"/>
      <c r="G11" s="2"/>
      <c r="H11" s="2"/>
      <c r="I11" s="2"/>
    </row>
    <row r="12" spans="1:9" ht="15.75" x14ac:dyDescent="0.25">
      <c r="A12" s="60">
        <v>5</v>
      </c>
      <c r="B12" s="60"/>
      <c r="C12" s="10">
        <f>'gotówka jst'!C32+'suma wzrost dochodów bp'!C12</f>
        <v>3.1878697496639994</v>
      </c>
      <c r="D12" s="46"/>
      <c r="E12" s="2"/>
      <c r="F12" s="2"/>
      <c r="G12" s="2"/>
      <c r="H12" s="2"/>
      <c r="I12" s="2"/>
    </row>
    <row r="13" spans="1:9" ht="15.75" x14ac:dyDescent="0.25">
      <c r="A13" s="60">
        <v>6</v>
      </c>
      <c r="B13" s="60"/>
      <c r="C13" s="10">
        <f>'gotówka jst'!C33+'suma wzrost dochodów bp'!C13</f>
        <v>2.7595689336639997</v>
      </c>
      <c r="D13" s="46"/>
      <c r="E13" s="2"/>
      <c r="F13" s="2"/>
      <c r="G13" s="2"/>
      <c r="H13" s="2"/>
      <c r="I13" s="2"/>
    </row>
    <row r="14" spans="1:9" ht="15.75" x14ac:dyDescent="0.25">
      <c r="A14" s="60">
        <v>7</v>
      </c>
      <c r="B14" s="60"/>
      <c r="C14" s="10">
        <f>'gotówka jst'!C34+'suma wzrost dochodów bp'!C14</f>
        <v>2.7595689336639997</v>
      </c>
      <c r="D14" s="46"/>
      <c r="E14" s="2"/>
      <c r="F14" s="2"/>
      <c r="G14" s="2"/>
      <c r="H14" s="2"/>
      <c r="I14" s="2"/>
    </row>
    <row r="15" spans="1:9" ht="15.75" x14ac:dyDescent="0.25">
      <c r="A15" s="60">
        <v>8</v>
      </c>
      <c r="B15" s="60"/>
      <c r="C15" s="10">
        <f>'gotówka jst'!C35+'suma wzrost dochodów bp'!C15</f>
        <v>2.7595689336639997</v>
      </c>
      <c r="D15" s="46"/>
      <c r="E15" s="2"/>
      <c r="F15" s="2"/>
      <c r="G15" s="2"/>
      <c r="H15" s="2"/>
      <c r="I15" s="2"/>
    </row>
    <row r="16" spans="1:9" ht="15.75" x14ac:dyDescent="0.25">
      <c r="A16" s="60">
        <v>9</v>
      </c>
      <c r="B16" s="60"/>
      <c r="C16" s="10">
        <f>'gotówka jst'!C36+'suma wzrost dochodów bp'!C16</f>
        <v>2.7595689336639997</v>
      </c>
      <c r="D16" s="46"/>
      <c r="E16" s="2"/>
      <c r="F16" s="2"/>
      <c r="G16" s="2"/>
      <c r="H16" s="2"/>
      <c r="I16" s="2"/>
    </row>
    <row r="17" spans="1:9" ht="15.75" x14ac:dyDescent="0.25">
      <c r="A17" s="60">
        <v>10</v>
      </c>
      <c r="B17" s="60"/>
      <c r="C17" s="10">
        <f>'gotówka jst'!C37+'suma wzrost dochodów bp'!C17</f>
        <v>2.7595689336639997</v>
      </c>
      <c r="D17" s="46"/>
      <c r="E17" s="2"/>
      <c r="F17" s="2"/>
      <c r="G17" s="2"/>
      <c r="H17" s="2"/>
      <c r="I17" s="2"/>
    </row>
    <row r="18" spans="1:9" ht="15.75" x14ac:dyDescent="0.25">
      <c r="A18" s="60" t="s">
        <v>19</v>
      </c>
      <c r="B18" s="60"/>
      <c r="C18" s="10">
        <f>SUM(C7:C17)</f>
        <v>38.292458814345999</v>
      </c>
      <c r="D18" s="46"/>
      <c r="E18" s="46"/>
      <c r="F18" s="2"/>
      <c r="G18" s="2"/>
      <c r="H18" s="2"/>
      <c r="I18" s="2"/>
    </row>
  </sheetData>
  <mergeCells count="14">
    <mergeCell ref="A17:B17"/>
    <mergeCell ref="A18:B18"/>
    <mergeCell ref="A11:B11"/>
    <mergeCell ref="A12:B12"/>
    <mergeCell ref="A13:B13"/>
    <mergeCell ref="A14:B14"/>
    <mergeCell ref="A15:B15"/>
    <mergeCell ref="A16:B16"/>
    <mergeCell ref="A10:B10"/>
    <mergeCell ref="A1:I2"/>
    <mergeCell ref="A6:B6"/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gotówka bp</vt:lpstr>
      <vt:lpstr>gotówka wpływ na zob</vt:lpstr>
      <vt:lpstr>gotówka jst</vt:lpstr>
      <vt:lpstr>VAT MOSS</vt:lpstr>
      <vt:lpstr>suma wzrost dochodów bp</vt:lpstr>
      <vt:lpstr>suma wzrostu dochodów </vt:lpstr>
      <vt:lpstr>'gotówka wpływ na zob'!Obszar_wydruku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Świsłocki</dc:creator>
  <cp:lastModifiedBy>Czajka Elżbieta</cp:lastModifiedBy>
  <cp:lastPrinted>2020-06-03T09:18:20Z</cp:lastPrinted>
  <dcterms:created xsi:type="dcterms:W3CDTF">2019-12-02T13:16:52Z</dcterms:created>
  <dcterms:modified xsi:type="dcterms:W3CDTF">2020-11-16T08:58:50Z</dcterms:modified>
</cp:coreProperties>
</file>